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officeartep.sharepoint.com/sites/msteams_ecd0d6/Shared Documents/志賀町（R8年度）/05_復興・木造_仮申込の実施/HP用_家賃シミュレーション/"/>
    </mc:Choice>
  </mc:AlternateContent>
  <xr:revisionPtr revIDLastSave="1568" documentId="8_{A3A0750D-51DF-400B-9473-9083CB2DD7B2}" xr6:coauthVersionLast="47" xr6:coauthVersionMax="47" xr10:uidLastSave="{55D1AD75-10FA-4124-A367-8C53F6BE6B87}"/>
  <workbookProtection workbookAlgorithmName="SHA-512" workbookHashValue="JgDWt/XRq1SfSuARYin6TLGPh9vLB/JVbFZZHLcksAqKq+VubzRdgxLjPA3qYAQi8xNn1aJr2uth7q5ZvnWkew==" workbookSaltValue="XbxjHFhz0yyiEtwXs00DMA==" workbookSpinCount="100000" lockStructure="1"/>
  <bookViews>
    <workbookView xWindow="-120" yWindow="-120" windowWidth="29040" windowHeight="17520" xr2:uid="{988C4460-6D85-46D2-8447-3ADF039C523D}"/>
  </bookViews>
  <sheets>
    <sheet name="家賃シミュレーションシート" sheetId="2" r:id="rId1"/>
    <sheet name="所得計算" sheetId="1" state="hidden" r:id="rId2"/>
    <sheet name="家賃・近傍同種計算" sheetId="8" state="hidden" r:id="rId3"/>
  </sheets>
  <definedNames>
    <definedName name="_xlnm.Print_Area" localSheetId="2">家賃・近傍同種計算!$C$21:$AA$85</definedName>
    <definedName name="VerI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80" i="2" l="1"/>
  <c r="AB79" i="2"/>
  <c r="AB78" i="2"/>
  <c r="AB75" i="2"/>
  <c r="AB74" i="2"/>
  <c r="AB73" i="2"/>
  <c r="AB72" i="2"/>
  <c r="K74" i="2"/>
  <c r="K72" i="2"/>
  <c r="T64" i="1"/>
  <c r="T65" i="1"/>
  <c r="T69" i="1"/>
  <c r="T68" i="1"/>
  <c r="T40" i="1"/>
  <c r="T38" i="1"/>
  <c r="T36" i="1"/>
  <c r="AA58" i="2"/>
  <c r="AA54" i="2"/>
  <c r="AA52" i="2"/>
  <c r="AB45" i="2"/>
  <c r="AB44" i="2"/>
  <c r="AB41" i="2"/>
  <c r="AN16" i="2"/>
  <c r="AL16" i="2"/>
  <c r="AJ16" i="2"/>
  <c r="AI16" i="2"/>
  <c r="AH30" i="2"/>
  <c r="AH18" i="2"/>
  <c r="AB30" i="2"/>
  <c r="AB28" i="2"/>
  <c r="AB26" i="2"/>
  <c r="AB24" i="2"/>
  <c r="AB22" i="2"/>
  <c r="AB20" i="2"/>
  <c r="AB18" i="2"/>
  <c r="S69" i="1"/>
  <c r="R69" i="1"/>
  <c r="Q69" i="1"/>
  <c r="S68" i="1"/>
  <c r="R68" i="1"/>
  <c r="Q68" i="1"/>
  <c r="T67" i="1"/>
  <c r="S67" i="1"/>
  <c r="R67" i="1"/>
  <c r="Q67" i="1"/>
  <c r="T66" i="1"/>
  <c r="S66" i="1"/>
  <c r="R66" i="1"/>
  <c r="Q66" i="1"/>
  <c r="S65" i="1"/>
  <c r="R65" i="1"/>
  <c r="Q65" i="1"/>
  <c r="R64" i="1"/>
  <c r="T60" i="1"/>
  <c r="S60" i="1"/>
  <c r="R60" i="1"/>
  <c r="Q60" i="1"/>
  <c r="T59" i="1"/>
  <c r="S59" i="1"/>
  <c r="R59" i="1"/>
  <c r="Q59" i="1"/>
  <c r="T58" i="1"/>
  <c r="S58" i="1"/>
  <c r="R58" i="1"/>
  <c r="Q58" i="1"/>
  <c r="T57" i="1"/>
  <c r="S57" i="1"/>
  <c r="R57" i="1"/>
  <c r="Q57" i="1"/>
  <c r="T56" i="1"/>
  <c r="S56" i="1"/>
  <c r="R56" i="1"/>
  <c r="Q56" i="1"/>
  <c r="T55" i="1"/>
  <c r="R55" i="1"/>
  <c r="T49" i="1"/>
  <c r="S49" i="1"/>
  <c r="R49" i="1"/>
  <c r="Q49" i="1"/>
  <c r="T48" i="1"/>
  <c r="S48" i="1"/>
  <c r="R48" i="1"/>
  <c r="Q48" i="1"/>
  <c r="T47" i="1"/>
  <c r="S47" i="1"/>
  <c r="R47" i="1"/>
  <c r="Q47" i="1"/>
  <c r="T46" i="1"/>
  <c r="S46" i="1"/>
  <c r="R46" i="1"/>
  <c r="Q46" i="1"/>
  <c r="T45" i="1"/>
  <c r="S45" i="1"/>
  <c r="R45" i="1"/>
  <c r="Q45" i="1"/>
  <c r="T44" i="1"/>
  <c r="R44" i="1"/>
  <c r="S40" i="1"/>
  <c r="R40" i="1"/>
  <c r="Q40" i="1"/>
  <c r="T39" i="1"/>
  <c r="S39" i="1"/>
  <c r="R39" i="1"/>
  <c r="Q39" i="1"/>
  <c r="S38" i="1"/>
  <c r="R38" i="1"/>
  <c r="Q38" i="1"/>
  <c r="T37" i="1"/>
  <c r="S37" i="1"/>
  <c r="R37" i="1"/>
  <c r="Q37" i="1"/>
  <c r="S36" i="1"/>
  <c r="R36" i="1"/>
  <c r="Q36" i="1"/>
  <c r="T35" i="1"/>
  <c r="R35" i="1"/>
  <c r="T29" i="1"/>
  <c r="S29" i="1"/>
  <c r="R29" i="1"/>
  <c r="Q29" i="1"/>
  <c r="T28" i="1"/>
  <c r="S28" i="1"/>
  <c r="R28" i="1"/>
  <c r="Q28" i="1"/>
  <c r="T27" i="1"/>
  <c r="S27" i="1"/>
  <c r="R27" i="1"/>
  <c r="Q27" i="1"/>
  <c r="T26" i="1"/>
  <c r="S26" i="1"/>
  <c r="R26" i="1"/>
  <c r="Q26" i="1"/>
  <c r="T25" i="1"/>
  <c r="S25" i="1"/>
  <c r="R25" i="1"/>
  <c r="Q25" i="1"/>
  <c r="T24" i="1"/>
  <c r="R24" i="1"/>
  <c r="T20" i="1"/>
  <c r="S20" i="1"/>
  <c r="R20" i="1"/>
  <c r="Q20" i="1"/>
  <c r="T19" i="1"/>
  <c r="S19" i="1"/>
  <c r="R19" i="1"/>
  <c r="Q19" i="1"/>
  <c r="T18" i="1"/>
  <c r="S18" i="1"/>
  <c r="R18" i="1"/>
  <c r="Q18" i="1"/>
  <c r="T17" i="1"/>
  <c r="S17" i="1"/>
  <c r="R17" i="1"/>
  <c r="Q17" i="1"/>
  <c r="T16" i="1"/>
  <c r="S16" i="1"/>
  <c r="R16" i="1"/>
  <c r="Q16" i="1"/>
  <c r="T15" i="1"/>
  <c r="R15" i="1"/>
  <c r="AA28" i="2" s="1"/>
  <c r="T9" i="1"/>
  <c r="S9" i="1"/>
  <c r="R9" i="1"/>
  <c r="Q9" i="1"/>
  <c r="T8" i="1"/>
  <c r="S8" i="1"/>
  <c r="R8" i="1"/>
  <c r="Q8" i="1"/>
  <c r="T7" i="1"/>
  <c r="S7" i="1"/>
  <c r="R7" i="1"/>
  <c r="Q7" i="1"/>
  <c r="T6" i="1"/>
  <c r="S6" i="1"/>
  <c r="R6" i="1"/>
  <c r="Q6" i="1"/>
  <c r="T5" i="1"/>
  <c r="S5" i="1"/>
  <c r="R5" i="1"/>
  <c r="Q5" i="1"/>
  <c r="T4" i="1"/>
  <c r="Z30" i="2" s="1"/>
  <c r="R4" i="1"/>
  <c r="Z28" i="2" s="1"/>
  <c r="AN30" i="2"/>
  <c r="AL30" i="2"/>
  <c r="AK30" i="2"/>
  <c r="AJ30" i="2"/>
  <c r="AI30" i="2"/>
  <c r="AN28" i="2"/>
  <c r="AL28" i="2"/>
  <c r="AK28" i="2"/>
  <c r="AJ28" i="2"/>
  <c r="AI28" i="2"/>
  <c r="AH28" i="2"/>
  <c r="AA30" i="2" l="1"/>
  <c r="D14" i="8"/>
  <c r="D18" i="8"/>
  <c r="AN26" i="2"/>
  <c r="AN24" i="2"/>
  <c r="AN22" i="2"/>
  <c r="AN20" i="2"/>
  <c r="AN18" i="2"/>
  <c r="AB43" i="2" s="1"/>
  <c r="AB47" i="2" s="1"/>
  <c r="D81" i="8" l="1"/>
  <c r="D79" i="8"/>
  <c r="D78" i="8"/>
  <c r="G61" i="8"/>
  <c r="G60" i="8"/>
  <c r="G59" i="8"/>
  <c r="G58" i="8"/>
  <c r="D67" i="8" s="1"/>
  <c r="D83" i="8" s="1"/>
  <c r="G65" i="8"/>
  <c r="G64" i="8"/>
  <c r="G63" i="8"/>
  <c r="G62" i="8"/>
  <c r="B14" i="8"/>
  <c r="D15" i="8"/>
  <c r="D17" i="8" s="1"/>
  <c r="BB32" i="8"/>
  <c r="BB31" i="8"/>
  <c r="BB30" i="8"/>
  <c r="BB29" i="8"/>
  <c r="BB28" i="8"/>
  <c r="BB27" i="8"/>
  <c r="BB26" i="8"/>
  <c r="DD24" i="8"/>
  <c r="DE24" i="8" s="1"/>
  <c r="DF24" i="8" s="1"/>
  <c r="DG24" i="8" s="1"/>
  <c r="DH24" i="8" s="1"/>
  <c r="DI24" i="8" s="1"/>
  <c r="DJ24" i="8" s="1"/>
  <c r="DK24" i="8" s="1"/>
  <c r="DL24" i="8" s="1"/>
  <c r="DM24" i="8" s="1"/>
  <c r="DN24" i="8" s="1"/>
  <c r="DO24" i="8" s="1"/>
  <c r="DP24" i="8" s="1"/>
  <c r="DQ24" i="8" s="1"/>
  <c r="DR24" i="8" s="1"/>
  <c r="DS24" i="8" s="1"/>
  <c r="DT24" i="8" s="1"/>
  <c r="DU24" i="8" s="1"/>
  <c r="DV24" i="8" s="1"/>
  <c r="DW24" i="8" s="1"/>
  <c r="DX24" i="8" s="1"/>
  <c r="DY24" i="8" s="1"/>
  <c r="DZ24" i="8" s="1"/>
  <c r="EA24" i="8" s="1"/>
  <c r="EB24" i="8" s="1"/>
  <c r="EC24" i="8" s="1"/>
  <c r="ED24" i="8" s="1"/>
  <c r="EE24" i="8" s="1"/>
  <c r="EF24" i="8" s="1"/>
  <c r="EG24" i="8" s="1"/>
  <c r="EH24" i="8" s="1"/>
  <c r="EI24" i="8" s="1"/>
  <c r="EJ24" i="8" s="1"/>
  <c r="EK24" i="8" s="1"/>
  <c r="EL24" i="8" s="1"/>
  <c r="EM24" i="8" s="1"/>
  <c r="EN24" i="8" s="1"/>
  <c r="EO24" i="8" s="1"/>
  <c r="EP24" i="8" s="1"/>
  <c r="EQ24" i="8" s="1"/>
  <c r="ER24" i="8" s="1"/>
  <c r="ES24" i="8" s="1"/>
  <c r="ET24" i="8" s="1"/>
  <c r="EU24" i="8" s="1"/>
  <c r="EV24" i="8" s="1"/>
  <c r="BI24" i="8"/>
  <c r="BJ24" i="8" s="1"/>
  <c r="BK24" i="8" s="1"/>
  <c r="BL24" i="8" s="1"/>
  <c r="BM24" i="8" s="1"/>
  <c r="BN24" i="8" s="1"/>
  <c r="BO24" i="8" s="1"/>
  <c r="BP24" i="8" s="1"/>
  <c r="BQ24" i="8" s="1"/>
  <c r="BR24" i="8" s="1"/>
  <c r="BS24" i="8" s="1"/>
  <c r="BT24" i="8" s="1"/>
  <c r="BU24" i="8" s="1"/>
  <c r="BV24" i="8" s="1"/>
  <c r="BW24" i="8" s="1"/>
  <c r="BX24" i="8" s="1"/>
  <c r="BY24" i="8" s="1"/>
  <c r="BZ24" i="8" s="1"/>
  <c r="CA24" i="8" s="1"/>
  <c r="CB24" i="8" s="1"/>
  <c r="CC24" i="8" s="1"/>
  <c r="CD24" i="8" s="1"/>
  <c r="CE24" i="8" s="1"/>
  <c r="CF24" i="8" s="1"/>
  <c r="CG24" i="8" s="1"/>
  <c r="CH24" i="8" s="1"/>
  <c r="CI24" i="8" s="1"/>
  <c r="CJ24" i="8" s="1"/>
  <c r="CK24" i="8" s="1"/>
  <c r="CL24" i="8" s="1"/>
  <c r="CM24" i="8" s="1"/>
  <c r="CN24" i="8" s="1"/>
  <c r="CO24" i="8" s="1"/>
  <c r="CP24" i="8" s="1"/>
  <c r="CQ24" i="8" s="1"/>
  <c r="CR24" i="8" s="1"/>
  <c r="CS24" i="8" s="1"/>
  <c r="CT24" i="8" s="1"/>
  <c r="CU24" i="8" s="1"/>
  <c r="CV24" i="8" s="1"/>
  <c r="CW24" i="8" s="1"/>
  <c r="CX24" i="8" s="1"/>
  <c r="CY24" i="8" s="1"/>
  <c r="CZ24" i="8" s="1"/>
  <c r="DA24" i="8" s="1"/>
  <c r="H24" i="8"/>
  <c r="I24" i="8" s="1"/>
  <c r="J24" i="8" s="1"/>
  <c r="K24" i="8" s="1"/>
  <c r="L24" i="8" s="1"/>
  <c r="M24" i="8" s="1"/>
  <c r="N24" i="8" s="1"/>
  <c r="O24" i="8" s="1"/>
  <c r="P24" i="8" s="1"/>
  <c r="Q24" i="8" s="1"/>
  <c r="R24" i="8" s="1"/>
  <c r="S24" i="8" s="1"/>
  <c r="T24" i="8" s="1"/>
  <c r="U24" i="8" s="1"/>
  <c r="V24" i="8" s="1"/>
  <c r="W24" i="8" s="1"/>
  <c r="X24" i="8" s="1"/>
  <c r="Y24" i="8" s="1"/>
  <c r="Z24" i="8" s="1"/>
  <c r="AA24" i="8" s="1"/>
  <c r="AB24" i="8" s="1"/>
  <c r="AC24" i="8" s="1"/>
  <c r="AD24" i="8" s="1"/>
  <c r="AE24" i="8" s="1"/>
  <c r="AF24" i="8" s="1"/>
  <c r="AG24" i="8" s="1"/>
  <c r="AH24" i="8" s="1"/>
  <c r="AI24" i="8" s="1"/>
  <c r="AJ24" i="8" s="1"/>
  <c r="AK24" i="8" s="1"/>
  <c r="AL24" i="8" s="1"/>
  <c r="AM24" i="8" s="1"/>
  <c r="AN24" i="8" s="1"/>
  <c r="AO24" i="8" s="1"/>
  <c r="AP24" i="8" s="1"/>
  <c r="AQ24" i="8" s="1"/>
  <c r="AR24" i="8" s="1"/>
  <c r="AS24" i="8" s="1"/>
  <c r="AT24" i="8" s="1"/>
  <c r="AU24" i="8" s="1"/>
  <c r="AV24" i="8" s="1"/>
  <c r="AW24" i="8" s="1"/>
  <c r="AX24" i="8" s="1"/>
  <c r="AY24" i="8" s="1"/>
  <c r="AZ24" i="8" s="1"/>
  <c r="D75" i="8" l="1"/>
  <c r="D19" i="8"/>
  <c r="G19" i="8" s="1"/>
  <c r="D77" i="8"/>
  <c r="D74" i="8"/>
  <c r="D72" i="8"/>
  <c r="AJ92" i="8" s="1"/>
  <c r="D73" i="8"/>
  <c r="AY93" i="8" s="1"/>
  <c r="D80" i="8"/>
  <c r="D84" i="8" s="1"/>
  <c r="D48" i="8"/>
  <c r="D52" i="8" s="1"/>
  <c r="D55" i="8" s="1"/>
  <c r="D54" i="8" s="1"/>
  <c r="D70" i="8"/>
  <c r="D71" i="8" s="1"/>
  <c r="D85" i="8" l="1"/>
  <c r="W94" i="8" s="1"/>
  <c r="AW93" i="8"/>
  <c r="Y93" i="8"/>
  <c r="N93" i="8"/>
  <c r="AH93" i="8"/>
  <c r="AA93" i="8"/>
  <c r="U93" i="8"/>
  <c r="AK93" i="8"/>
  <c r="AI92" i="8"/>
  <c r="X93" i="8"/>
  <c r="AC93" i="8"/>
  <c r="AX93" i="8"/>
  <c r="W93" i="8"/>
  <c r="AB93" i="8"/>
  <c r="AV93" i="8"/>
  <c r="AU92" i="8"/>
  <c r="S93" i="8"/>
  <c r="K91" i="8"/>
  <c r="AW92" i="8"/>
  <c r="AH92" i="8"/>
  <c r="AX92" i="8"/>
  <c r="S92" i="8"/>
  <c r="AT92" i="8"/>
  <c r="AP92" i="8"/>
  <c r="AM92" i="8"/>
  <c r="AG92" i="8"/>
  <c r="X92" i="8"/>
  <c r="O92" i="8"/>
  <c r="Y92" i="8"/>
  <c r="P92" i="8"/>
  <c r="Q93" i="8"/>
  <c r="I93" i="8"/>
  <c r="V93" i="8"/>
  <c r="V91" i="8"/>
  <c r="M89" i="8"/>
  <c r="M90" i="8" s="1"/>
  <c r="N91" i="8"/>
  <c r="AO89" i="8"/>
  <c r="AO95" i="8" s="1"/>
  <c r="O91" i="8"/>
  <c r="Y91" i="8"/>
  <c r="U91" i="8"/>
  <c r="AP91" i="8"/>
  <c r="S91" i="8"/>
  <c r="P93" i="8"/>
  <c r="AR89" i="8"/>
  <c r="AR90" i="8" s="1"/>
  <c r="H93" i="8"/>
  <c r="T93" i="8"/>
  <c r="AG89" i="8"/>
  <c r="AG95" i="8" s="1"/>
  <c r="I89" i="8"/>
  <c r="I95" i="8" s="1"/>
  <c r="AD89" i="8"/>
  <c r="AD95" i="8" s="1"/>
  <c r="T91" i="8"/>
  <c r="AN91" i="8"/>
  <c r="AE91" i="8"/>
  <c r="AQ89" i="8"/>
  <c r="AQ95" i="8" s="1"/>
  <c r="L89" i="8"/>
  <c r="L90" i="8" s="1"/>
  <c r="AI93" i="8"/>
  <c r="AU93" i="8"/>
  <c r="AT93" i="8"/>
  <c r="AM93" i="8"/>
  <c r="AG93" i="8"/>
  <c r="K93" i="8"/>
  <c r="J93" i="8"/>
  <c r="AP93" i="8"/>
  <c r="AL93" i="8"/>
  <c r="AF93" i="8"/>
  <c r="AE93" i="8"/>
  <c r="Z89" i="8"/>
  <c r="Z95" i="8" s="1"/>
  <c r="AS93" i="8"/>
  <c r="AV89" i="8"/>
  <c r="AV90" i="8" s="1"/>
  <c r="Q91" i="8"/>
  <c r="R93" i="8"/>
  <c r="Z93" i="8"/>
  <c r="AJ93" i="8"/>
  <c r="AN93" i="8"/>
  <c r="M93" i="8"/>
  <c r="AM91" i="8"/>
  <c r="AZ89" i="8"/>
  <c r="AZ90" i="8" s="1"/>
  <c r="Y89" i="8"/>
  <c r="Y95" i="8" s="1"/>
  <c r="AU89" i="8"/>
  <c r="AU90" i="8" s="1"/>
  <c r="H91" i="8"/>
  <c r="M91" i="8"/>
  <c r="AQ91" i="8"/>
  <c r="AS91" i="8"/>
  <c r="U89" i="8"/>
  <c r="U95" i="8" s="1"/>
  <c r="AC89" i="8"/>
  <c r="AC95" i="8" s="1"/>
  <c r="AQ93" i="8"/>
  <c r="O93" i="8"/>
  <c r="AV91" i="8"/>
  <c r="AX91" i="8"/>
  <c r="AO93" i="8"/>
  <c r="AR93" i="8"/>
  <c r="AZ93" i="8"/>
  <c r="L93" i="8"/>
  <c r="AD93" i="8"/>
  <c r="V89" i="8"/>
  <c r="AO91" i="8"/>
  <c r="AT89" i="8"/>
  <c r="AU91" i="8"/>
  <c r="AS92" i="8"/>
  <c r="W92" i="8"/>
  <c r="AD92" i="8"/>
  <c r="AC92" i="8"/>
  <c r="AB92" i="8"/>
  <c r="AA92" i="8"/>
  <c r="Z92" i="8"/>
  <c r="AZ92" i="8"/>
  <c r="V92" i="8"/>
  <c r="AK92" i="8"/>
  <c r="AF92" i="8"/>
  <c r="AE92" i="8"/>
  <c r="T92" i="8"/>
  <c r="AN92" i="8"/>
  <c r="AL92" i="8"/>
  <c r="N92" i="8"/>
  <c r="M92" i="8"/>
  <c r="L92" i="8"/>
  <c r="K92" i="8"/>
  <c r="J92" i="8"/>
  <c r="I92" i="8"/>
  <c r="H92" i="8"/>
  <c r="AY92" i="8"/>
  <c r="AQ92" i="8"/>
  <c r="AO92" i="8"/>
  <c r="AV92" i="8"/>
  <c r="AR92" i="8"/>
  <c r="U92" i="8"/>
  <c r="X91" i="8"/>
  <c r="R92" i="8"/>
  <c r="AL91" i="8"/>
  <c r="AL19" i="8"/>
  <c r="V19" i="8"/>
  <c r="AO19" i="8"/>
  <c r="X19" i="8"/>
  <c r="AN19" i="8"/>
  <c r="W19" i="8"/>
  <c r="AK19" i="8"/>
  <c r="R19" i="8"/>
  <c r="AX19" i="8"/>
  <c r="AD19" i="8"/>
  <c r="J19" i="8"/>
  <c r="AT19" i="8"/>
  <c r="Y19" i="8"/>
  <c r="AS19" i="8"/>
  <c r="U19" i="8"/>
  <c r="AZ19" i="8"/>
  <c r="AB19" i="8"/>
  <c r="AY19" i="8"/>
  <c r="AA19" i="8"/>
  <c r="AW19" i="8"/>
  <c r="Z19" i="8"/>
  <c r="AV19" i="8"/>
  <c r="T19" i="8"/>
  <c r="AU19" i="8"/>
  <c r="S19" i="8"/>
  <c r="AR19" i="8"/>
  <c r="Q19" i="8"/>
  <c r="AP19" i="8"/>
  <c r="H19" i="8"/>
  <c r="AM19" i="8"/>
  <c r="AJ19" i="8"/>
  <c r="AI19" i="8"/>
  <c r="AQ19" i="8"/>
  <c r="AH19" i="8"/>
  <c r="AG19" i="8"/>
  <c r="AF19" i="8"/>
  <c r="AE19" i="8"/>
  <c r="AC19" i="8"/>
  <c r="P19" i="8"/>
  <c r="O19" i="8"/>
  <c r="N19" i="8"/>
  <c r="M19" i="8"/>
  <c r="L19" i="8"/>
  <c r="K19" i="8"/>
  <c r="I19" i="8"/>
  <c r="AT91" i="8"/>
  <c r="AH89" i="8"/>
  <c r="AW91" i="8"/>
  <c r="P91" i="8"/>
  <c r="AF89" i="8"/>
  <c r="AE89" i="8"/>
  <c r="AB89" i="8"/>
  <c r="AK91" i="8"/>
  <c r="L91" i="8"/>
  <c r="AA89" i="8"/>
  <c r="AY89" i="8"/>
  <c r="X89" i="8"/>
  <c r="AF91" i="8"/>
  <c r="AM89" i="8"/>
  <c r="AC91" i="8"/>
  <c r="AL89" i="8"/>
  <c r="AB91" i="8"/>
  <c r="AK89" i="8"/>
  <c r="AA91" i="8"/>
  <c r="AJ89" i="8"/>
  <c r="R91" i="8"/>
  <c r="H89" i="8"/>
  <c r="J91" i="8"/>
  <c r="AX89" i="8"/>
  <c r="I91" i="8"/>
  <c r="AW89" i="8"/>
  <c r="AS89" i="8"/>
  <c r="AP89" i="8"/>
  <c r="S89" i="8"/>
  <c r="AN89" i="8"/>
  <c r="AI89" i="8"/>
  <c r="W89" i="8"/>
  <c r="T89" i="8"/>
  <c r="AZ91" i="8"/>
  <c r="AH91" i="8"/>
  <c r="O89" i="8"/>
  <c r="K89" i="8"/>
  <c r="AG91" i="8"/>
  <c r="Z91" i="8"/>
  <c r="W91" i="8"/>
  <c r="R89" i="8"/>
  <c r="Q89" i="8"/>
  <c r="P89" i="8"/>
  <c r="AY91" i="8"/>
  <c r="AI91" i="8"/>
  <c r="J89" i="8"/>
  <c r="AD91" i="8"/>
  <c r="AR91" i="8"/>
  <c r="N89" i="8"/>
  <c r="Q92" i="8"/>
  <c r="AJ91" i="8"/>
  <c r="X94" i="8" l="1"/>
  <c r="AN94" i="8"/>
  <c r="M94" i="8"/>
  <c r="AS94" i="8"/>
  <c r="AL94" i="8"/>
  <c r="L94" i="8"/>
  <c r="V94" i="8"/>
  <c r="AA94" i="8"/>
  <c r="AT94" i="8"/>
  <c r="N94" i="8"/>
  <c r="S94" i="8"/>
  <c r="AE94" i="8"/>
  <c r="AP94" i="8"/>
  <c r="K94" i="8"/>
  <c r="AX94" i="8"/>
  <c r="AO94" i="8"/>
  <c r="AB94" i="8"/>
  <c r="AG94" i="8"/>
  <c r="AH94" i="8"/>
  <c r="AC94" i="8"/>
  <c r="AW94" i="8"/>
  <c r="I94" i="8"/>
  <c r="AK94" i="8"/>
  <c r="AZ94" i="8"/>
  <c r="O94" i="8"/>
  <c r="Q94" i="8"/>
  <c r="AU94" i="8"/>
  <c r="AQ94" i="8"/>
  <c r="U94" i="8"/>
  <c r="AM94" i="8"/>
  <c r="AY94" i="8"/>
  <c r="T94" i="8"/>
  <c r="AI94" i="8"/>
  <c r="AR94" i="8"/>
  <c r="AV94" i="8"/>
  <c r="H94" i="8"/>
  <c r="J94" i="8"/>
  <c r="Y94" i="8"/>
  <c r="R94" i="8"/>
  <c r="P94" i="8"/>
  <c r="Z94" i="8"/>
  <c r="AJ94" i="8"/>
  <c r="AF94" i="8"/>
  <c r="AD94" i="8"/>
  <c r="AV95" i="8"/>
  <c r="U90" i="8"/>
  <c r="M95" i="8"/>
  <c r="AQ90" i="8"/>
  <c r="Y90" i="8"/>
  <c r="AU95" i="8"/>
  <c r="AG90" i="8"/>
  <c r="AO90" i="8"/>
  <c r="AZ95" i="8"/>
  <c r="L95" i="8"/>
  <c r="AC90" i="8"/>
  <c r="I90" i="8"/>
  <c r="AD90" i="8"/>
  <c r="Z90" i="8"/>
  <c r="AR95" i="8"/>
  <c r="AJ90" i="8"/>
  <c r="AJ95" i="8"/>
  <c r="AM25" i="8"/>
  <c r="CN25" i="8" s="1"/>
  <c r="AM27" i="8"/>
  <c r="CN27" i="8" s="1"/>
  <c r="AM31" i="8"/>
  <c r="CN31" i="8" s="1"/>
  <c r="AM30" i="8"/>
  <c r="CN30" i="8" s="1"/>
  <c r="AM32" i="8"/>
  <c r="CN32" i="8" s="1"/>
  <c r="AM28" i="8"/>
  <c r="CN28" i="8" s="1"/>
  <c r="AM26" i="8"/>
  <c r="CN26" i="8" s="1"/>
  <c r="AM29" i="8"/>
  <c r="CN29" i="8" s="1"/>
  <c r="I27" i="8"/>
  <c r="BJ27" i="8" s="1"/>
  <c r="I32" i="8"/>
  <c r="BJ32" i="8" s="1"/>
  <c r="I29" i="8"/>
  <c r="BJ29" i="8" s="1"/>
  <c r="I28" i="8"/>
  <c r="BJ28" i="8" s="1"/>
  <c r="I25" i="8"/>
  <c r="BJ25" i="8" s="1"/>
  <c r="I31" i="8"/>
  <c r="BJ31" i="8" s="1"/>
  <c r="I26" i="8"/>
  <c r="BJ26" i="8" s="1"/>
  <c r="I30" i="8"/>
  <c r="BJ30" i="8" s="1"/>
  <c r="H32" i="8"/>
  <c r="BI32" i="8" s="1"/>
  <c r="H31" i="8"/>
  <c r="BI31" i="8" s="1"/>
  <c r="H29" i="8"/>
  <c r="BI29" i="8" s="1"/>
  <c r="H27" i="8"/>
  <c r="BI27" i="8" s="1"/>
  <c r="H28" i="8"/>
  <c r="BI28" i="8" s="1"/>
  <c r="H25" i="8"/>
  <c r="BI25" i="8" s="1"/>
  <c r="H26" i="8"/>
  <c r="BI26" i="8" s="1"/>
  <c r="H30" i="8"/>
  <c r="BI30" i="8" s="1"/>
  <c r="K29" i="8"/>
  <c r="BL29" i="8" s="1"/>
  <c r="K25" i="8"/>
  <c r="BL25" i="8" s="1"/>
  <c r="K27" i="8"/>
  <c r="BL27" i="8" s="1"/>
  <c r="K28" i="8"/>
  <c r="BL28" i="8" s="1"/>
  <c r="K26" i="8"/>
  <c r="BL26" i="8" s="1"/>
  <c r="K30" i="8"/>
  <c r="BL30" i="8" s="1"/>
  <c r="K32" i="8"/>
  <c r="BL32" i="8" s="1"/>
  <c r="K31" i="8"/>
  <c r="BL31" i="8" s="1"/>
  <c r="AP28" i="8"/>
  <c r="CQ28" i="8" s="1"/>
  <c r="AP25" i="8"/>
  <c r="CQ25" i="8" s="1"/>
  <c r="AP32" i="8"/>
  <c r="CQ32" i="8" s="1"/>
  <c r="AP29" i="8"/>
  <c r="CQ29" i="8" s="1"/>
  <c r="AP26" i="8"/>
  <c r="CQ26" i="8" s="1"/>
  <c r="AP31" i="8"/>
  <c r="CQ31" i="8" s="1"/>
  <c r="AP30" i="8"/>
  <c r="CQ30" i="8" s="1"/>
  <c r="AP27" i="8"/>
  <c r="CQ27" i="8" s="1"/>
  <c r="J31" i="8"/>
  <c r="BK31" i="8" s="1"/>
  <c r="J29" i="8"/>
  <c r="BK29" i="8" s="1"/>
  <c r="J25" i="8"/>
  <c r="BK25" i="8" s="1"/>
  <c r="J27" i="8"/>
  <c r="BK27" i="8" s="1"/>
  <c r="J28" i="8"/>
  <c r="BK28" i="8" s="1"/>
  <c r="J26" i="8"/>
  <c r="BK26" i="8" s="1"/>
  <c r="J30" i="8"/>
  <c r="BK30" i="8" s="1"/>
  <c r="J32" i="8"/>
  <c r="BK32" i="8" s="1"/>
  <c r="AY95" i="8"/>
  <c r="AY90" i="8"/>
  <c r="AE28" i="8"/>
  <c r="CF28" i="8" s="1"/>
  <c r="AE29" i="8"/>
  <c r="CF29" i="8" s="1"/>
  <c r="AE25" i="8"/>
  <c r="CF25" i="8" s="1"/>
  <c r="AE31" i="8"/>
  <c r="CF31" i="8" s="1"/>
  <c r="AE27" i="8"/>
  <c r="CF27" i="8" s="1"/>
  <c r="AE30" i="8"/>
  <c r="CF30" i="8" s="1"/>
  <c r="AE26" i="8"/>
  <c r="CF26" i="8" s="1"/>
  <c r="AE32" i="8"/>
  <c r="CF32" i="8" s="1"/>
  <c r="Z27" i="8"/>
  <c r="CA27" i="8" s="1"/>
  <c r="Z30" i="8"/>
  <c r="CA30" i="8" s="1"/>
  <c r="Z28" i="8"/>
  <c r="CA28" i="8" s="1"/>
  <c r="Z31" i="8"/>
  <c r="CA31" i="8" s="1"/>
  <c r="Z32" i="8"/>
  <c r="CA32" i="8" s="1"/>
  <c r="Z25" i="8"/>
  <c r="CA25" i="8" s="1"/>
  <c r="Z26" i="8"/>
  <c r="CA26" i="8" s="1"/>
  <c r="Z29" i="8"/>
  <c r="CA29" i="8" s="1"/>
  <c r="AA95" i="8"/>
  <c r="AA90" i="8"/>
  <c r="AF26" i="8"/>
  <c r="CG26" i="8" s="1"/>
  <c r="AF31" i="8"/>
  <c r="CG31" i="8" s="1"/>
  <c r="AF29" i="8"/>
  <c r="CG29" i="8" s="1"/>
  <c r="AF27" i="8"/>
  <c r="CG27" i="8" s="1"/>
  <c r="AF30" i="8"/>
  <c r="CG30" i="8" s="1"/>
  <c r="AF32" i="8"/>
  <c r="CG32" i="8" s="1"/>
  <c r="AF28" i="8"/>
  <c r="CG28" i="8" s="1"/>
  <c r="AF25" i="8"/>
  <c r="CG25" i="8" s="1"/>
  <c r="AW30" i="8"/>
  <c r="CX30" i="8" s="1"/>
  <c r="AW26" i="8"/>
  <c r="CX26" i="8" s="1"/>
  <c r="AW28" i="8"/>
  <c r="CX28" i="8" s="1"/>
  <c r="AW32" i="8"/>
  <c r="CX32" i="8" s="1"/>
  <c r="AW27" i="8"/>
  <c r="CX27" i="8" s="1"/>
  <c r="AW29" i="8"/>
  <c r="CX29" i="8" s="1"/>
  <c r="AW25" i="8"/>
  <c r="CX25" i="8" s="1"/>
  <c r="AW31" i="8"/>
  <c r="CX31" i="8" s="1"/>
  <c r="AX95" i="8"/>
  <c r="AX90" i="8"/>
  <c r="AH31" i="8"/>
  <c r="CI31" i="8" s="1"/>
  <c r="AH27" i="8"/>
  <c r="CI27" i="8" s="1"/>
  <c r="AH29" i="8"/>
  <c r="CI29" i="8" s="1"/>
  <c r="AH25" i="8"/>
  <c r="CI25" i="8" s="1"/>
  <c r="AH32" i="8"/>
  <c r="CI32" i="8" s="1"/>
  <c r="AH30" i="8"/>
  <c r="CI30" i="8" s="1"/>
  <c r="AH26" i="8"/>
  <c r="CI26" i="8" s="1"/>
  <c r="AH28" i="8"/>
  <c r="CI28" i="8" s="1"/>
  <c r="AY31" i="8"/>
  <c r="CZ31" i="8" s="1"/>
  <c r="AY32" i="8"/>
  <c r="CZ32" i="8" s="1"/>
  <c r="AY28" i="8"/>
  <c r="CZ28" i="8" s="1"/>
  <c r="AY29" i="8"/>
  <c r="CZ29" i="8" s="1"/>
  <c r="AY25" i="8"/>
  <c r="CZ25" i="8" s="1"/>
  <c r="AY27" i="8"/>
  <c r="CZ27" i="8" s="1"/>
  <c r="AY26" i="8"/>
  <c r="CZ26" i="8" s="1"/>
  <c r="AY30" i="8"/>
  <c r="CZ30" i="8" s="1"/>
  <c r="AO28" i="8"/>
  <c r="CP28" i="8" s="1"/>
  <c r="AO31" i="8"/>
  <c r="CP31" i="8" s="1"/>
  <c r="AO32" i="8"/>
  <c r="CP32" i="8" s="1"/>
  <c r="AO30" i="8"/>
  <c r="CP30" i="8" s="1"/>
  <c r="AO25" i="8"/>
  <c r="CP25" i="8" s="1"/>
  <c r="AO29" i="8"/>
  <c r="CP29" i="8" s="1"/>
  <c r="AO27" i="8"/>
  <c r="CP27" i="8" s="1"/>
  <c r="AO26" i="8"/>
  <c r="CP26" i="8" s="1"/>
  <c r="AH90" i="8"/>
  <c r="AH95" i="8"/>
  <c r="AT32" i="8"/>
  <c r="CU32" i="8" s="1"/>
  <c r="AT26" i="8"/>
  <c r="CU26" i="8" s="1"/>
  <c r="AT28" i="8"/>
  <c r="CU28" i="8" s="1"/>
  <c r="AT30" i="8"/>
  <c r="CU30" i="8" s="1"/>
  <c r="AT29" i="8"/>
  <c r="CU29" i="8" s="1"/>
  <c r="AT27" i="8"/>
  <c r="CU27" i="8" s="1"/>
  <c r="AT31" i="8"/>
  <c r="CU31" i="8" s="1"/>
  <c r="AT25" i="8"/>
  <c r="CU25" i="8" s="1"/>
  <c r="N95" i="8"/>
  <c r="N90" i="8"/>
  <c r="AT95" i="8"/>
  <c r="AT90" i="8"/>
  <c r="AL90" i="8"/>
  <c r="AL95" i="8"/>
  <c r="AR28" i="8"/>
  <c r="CS28" i="8" s="1"/>
  <c r="AR27" i="8"/>
  <c r="CS27" i="8" s="1"/>
  <c r="AR25" i="8"/>
  <c r="CS25" i="8" s="1"/>
  <c r="AR26" i="8"/>
  <c r="CS26" i="8" s="1"/>
  <c r="AR32" i="8"/>
  <c r="CS32" i="8" s="1"/>
  <c r="AR29" i="8"/>
  <c r="CS29" i="8" s="1"/>
  <c r="AR31" i="8"/>
  <c r="CS31" i="8" s="1"/>
  <c r="AR30" i="8"/>
  <c r="CS30" i="8" s="1"/>
  <c r="S30" i="8"/>
  <c r="BT30" i="8" s="1"/>
  <c r="S27" i="8"/>
  <c r="BT27" i="8" s="1"/>
  <c r="S31" i="8"/>
  <c r="BT31" i="8" s="1"/>
  <c r="S32" i="8"/>
  <c r="BT32" i="8" s="1"/>
  <c r="S28" i="8"/>
  <c r="BT28" i="8" s="1"/>
  <c r="S25" i="8"/>
  <c r="BT25" i="8" s="1"/>
  <c r="S26" i="8"/>
  <c r="BT26" i="8" s="1"/>
  <c r="S29" i="8"/>
  <c r="BT29" i="8" s="1"/>
  <c r="V90" i="8"/>
  <c r="V95" i="8"/>
  <c r="AM95" i="8"/>
  <c r="AM90" i="8"/>
  <c r="AU32" i="8"/>
  <c r="CV32" i="8" s="1"/>
  <c r="AU30" i="8"/>
  <c r="CV30" i="8" s="1"/>
  <c r="AU27" i="8"/>
  <c r="CV27" i="8" s="1"/>
  <c r="AU26" i="8"/>
  <c r="CV26" i="8" s="1"/>
  <c r="AU28" i="8"/>
  <c r="CV28" i="8" s="1"/>
  <c r="AU29" i="8"/>
  <c r="CV29" i="8" s="1"/>
  <c r="AU31" i="8"/>
  <c r="CV31" i="8" s="1"/>
  <c r="AU25" i="8"/>
  <c r="CV25" i="8" s="1"/>
  <c r="S90" i="8"/>
  <c r="S95" i="8"/>
  <c r="T29" i="8"/>
  <c r="BU29" i="8" s="1"/>
  <c r="T30" i="8"/>
  <c r="BU30" i="8" s="1"/>
  <c r="T25" i="8"/>
  <c r="BU25" i="8" s="1"/>
  <c r="T31" i="8"/>
  <c r="BU31" i="8" s="1"/>
  <c r="T28" i="8"/>
  <c r="BU28" i="8" s="1"/>
  <c r="T32" i="8"/>
  <c r="BU32" i="8" s="1"/>
  <c r="T26" i="8"/>
  <c r="BU26" i="8" s="1"/>
  <c r="T27" i="8"/>
  <c r="BU27" i="8" s="1"/>
  <c r="AP95" i="8"/>
  <c r="AP90" i="8"/>
  <c r="AC31" i="8"/>
  <c r="CD31" i="8" s="1"/>
  <c r="AC32" i="8"/>
  <c r="CD32" i="8" s="1"/>
  <c r="AC28" i="8"/>
  <c r="CD28" i="8" s="1"/>
  <c r="AC25" i="8"/>
  <c r="CD25" i="8" s="1"/>
  <c r="AC30" i="8"/>
  <c r="CD30" i="8" s="1"/>
  <c r="AC26" i="8"/>
  <c r="CD26" i="8" s="1"/>
  <c r="AC29" i="8"/>
  <c r="CD29" i="8" s="1"/>
  <c r="AC27" i="8"/>
  <c r="CD27" i="8" s="1"/>
  <c r="AS90" i="8"/>
  <c r="AS95" i="8"/>
  <c r="AW95" i="8"/>
  <c r="AW90" i="8"/>
  <c r="AG30" i="8"/>
  <c r="CH30" i="8" s="1"/>
  <c r="AG26" i="8"/>
  <c r="CH26" i="8" s="1"/>
  <c r="AG29" i="8"/>
  <c r="CH29" i="8" s="1"/>
  <c r="AG25" i="8"/>
  <c r="CH25" i="8" s="1"/>
  <c r="AG32" i="8"/>
  <c r="CH32" i="8" s="1"/>
  <c r="AG28" i="8"/>
  <c r="CH28" i="8" s="1"/>
  <c r="AG27" i="8"/>
  <c r="CH27" i="8" s="1"/>
  <c r="AG31" i="8"/>
  <c r="CH31" i="8" s="1"/>
  <c r="X28" i="8"/>
  <c r="BY28" i="8" s="1"/>
  <c r="X25" i="8"/>
  <c r="BY25" i="8" s="1"/>
  <c r="X27" i="8"/>
  <c r="BY27" i="8" s="1"/>
  <c r="X26" i="8"/>
  <c r="BY26" i="8" s="1"/>
  <c r="X31" i="8"/>
  <c r="BY31" i="8" s="1"/>
  <c r="X32" i="8"/>
  <c r="BY32" i="8" s="1"/>
  <c r="X30" i="8"/>
  <c r="BY30" i="8" s="1"/>
  <c r="X29" i="8"/>
  <c r="BY29" i="8" s="1"/>
  <c r="AB90" i="8"/>
  <c r="AB95" i="8"/>
  <c r="AQ27" i="8"/>
  <c r="CR27" i="8" s="1"/>
  <c r="AQ28" i="8"/>
  <c r="CR28" i="8" s="1"/>
  <c r="AQ31" i="8"/>
  <c r="CR31" i="8" s="1"/>
  <c r="AQ25" i="8"/>
  <c r="CR25" i="8" s="1"/>
  <c r="AQ32" i="8"/>
  <c r="CR32" i="8" s="1"/>
  <c r="AQ30" i="8"/>
  <c r="CR30" i="8" s="1"/>
  <c r="AQ26" i="8"/>
  <c r="CR26" i="8" s="1"/>
  <c r="AQ29" i="8"/>
  <c r="CR29" i="8" s="1"/>
  <c r="AB31" i="8"/>
  <c r="CC31" i="8" s="1"/>
  <c r="AB29" i="8"/>
  <c r="CC29" i="8" s="1"/>
  <c r="AB32" i="8"/>
  <c r="CC32" i="8" s="1"/>
  <c r="AB28" i="8"/>
  <c r="CC28" i="8" s="1"/>
  <c r="AB25" i="8"/>
  <c r="CC25" i="8" s="1"/>
  <c r="AB26" i="8"/>
  <c r="CC26" i="8" s="1"/>
  <c r="AB27" i="8"/>
  <c r="CC27" i="8" s="1"/>
  <c r="AB30" i="8"/>
  <c r="CC30" i="8" s="1"/>
  <c r="V26" i="8"/>
  <c r="BW26" i="8" s="1"/>
  <c r="V28" i="8"/>
  <c r="BW28" i="8" s="1"/>
  <c r="V31" i="8"/>
  <c r="BW31" i="8" s="1"/>
  <c r="V25" i="8"/>
  <c r="BW25" i="8" s="1"/>
  <c r="V30" i="8"/>
  <c r="BW30" i="8" s="1"/>
  <c r="V27" i="8"/>
  <c r="BW27" i="8" s="1"/>
  <c r="V29" i="8"/>
  <c r="BW29" i="8" s="1"/>
  <c r="V32" i="8"/>
  <c r="BW32" i="8" s="1"/>
  <c r="AS32" i="8"/>
  <c r="CT32" i="8" s="1"/>
  <c r="AS30" i="8"/>
  <c r="CT30" i="8" s="1"/>
  <c r="AS26" i="8"/>
  <c r="CT26" i="8" s="1"/>
  <c r="AS28" i="8"/>
  <c r="CT28" i="8" s="1"/>
  <c r="AS29" i="8"/>
  <c r="CT29" i="8" s="1"/>
  <c r="AS31" i="8"/>
  <c r="CT31" i="8" s="1"/>
  <c r="AS25" i="8"/>
  <c r="CT25" i="8" s="1"/>
  <c r="AS27" i="8"/>
  <c r="CT27" i="8" s="1"/>
  <c r="Y28" i="8"/>
  <c r="BZ28" i="8" s="1"/>
  <c r="Y25" i="8"/>
  <c r="BZ25" i="8" s="1"/>
  <c r="Y26" i="8"/>
  <c r="BZ26" i="8" s="1"/>
  <c r="Y31" i="8"/>
  <c r="BZ31" i="8" s="1"/>
  <c r="Y32" i="8"/>
  <c r="BZ32" i="8" s="1"/>
  <c r="Y30" i="8"/>
  <c r="BZ30" i="8" s="1"/>
  <c r="Y29" i="8"/>
  <c r="BZ29" i="8" s="1"/>
  <c r="Y27" i="8"/>
  <c r="BZ27" i="8" s="1"/>
  <c r="AK90" i="8"/>
  <c r="AK95" i="8"/>
  <c r="L29" i="8"/>
  <c r="BM29" i="8" s="1"/>
  <c r="L28" i="8"/>
  <c r="BM28" i="8" s="1"/>
  <c r="L32" i="8"/>
  <c r="BM32" i="8" s="1"/>
  <c r="L25" i="8"/>
  <c r="BM25" i="8" s="1"/>
  <c r="L26" i="8"/>
  <c r="BM26" i="8" s="1"/>
  <c r="L27" i="8"/>
  <c r="BM27" i="8" s="1"/>
  <c r="L31" i="8"/>
  <c r="BM31" i="8" s="1"/>
  <c r="L30" i="8"/>
  <c r="BM30" i="8" s="1"/>
  <c r="W90" i="8"/>
  <c r="W95" i="8"/>
  <c r="M32" i="8"/>
  <c r="BN32" i="8" s="1"/>
  <c r="M29" i="8"/>
  <c r="BN29" i="8" s="1"/>
  <c r="M25" i="8"/>
  <c r="BN25" i="8" s="1"/>
  <c r="M26" i="8"/>
  <c r="BN26" i="8" s="1"/>
  <c r="M28" i="8"/>
  <c r="BN28" i="8" s="1"/>
  <c r="M31" i="8"/>
  <c r="BN31" i="8" s="1"/>
  <c r="M30" i="8"/>
  <c r="BN30" i="8" s="1"/>
  <c r="M27" i="8"/>
  <c r="BN27" i="8" s="1"/>
  <c r="J95" i="8"/>
  <c r="J90" i="8"/>
  <c r="O31" i="8"/>
  <c r="BP31" i="8" s="1"/>
  <c r="O26" i="8"/>
  <c r="BP26" i="8" s="1"/>
  <c r="O27" i="8"/>
  <c r="BP27" i="8" s="1"/>
  <c r="O32" i="8"/>
  <c r="BP32" i="8" s="1"/>
  <c r="O30" i="8"/>
  <c r="BP30" i="8" s="1"/>
  <c r="O25" i="8"/>
  <c r="BP25" i="8" s="1"/>
  <c r="O28" i="8"/>
  <c r="BP28" i="8" s="1"/>
  <c r="O29" i="8"/>
  <c r="BP29" i="8" s="1"/>
  <c r="X95" i="8"/>
  <c r="X90" i="8"/>
  <c r="AV26" i="8"/>
  <c r="CW26" i="8" s="1"/>
  <c r="AV31" i="8"/>
  <c r="CW31" i="8" s="1"/>
  <c r="AV30" i="8"/>
  <c r="CW30" i="8" s="1"/>
  <c r="AV27" i="8"/>
  <c r="CW27" i="8" s="1"/>
  <c r="AV28" i="8"/>
  <c r="CW28" i="8" s="1"/>
  <c r="AV29" i="8"/>
  <c r="CW29" i="8" s="1"/>
  <c r="AV25" i="8"/>
  <c r="CW25" i="8" s="1"/>
  <c r="AV32" i="8"/>
  <c r="CW32" i="8" s="1"/>
  <c r="W25" i="8"/>
  <c r="BX25" i="8" s="1"/>
  <c r="W31" i="8"/>
  <c r="BX31" i="8" s="1"/>
  <c r="W30" i="8"/>
  <c r="BX30" i="8" s="1"/>
  <c r="W27" i="8"/>
  <c r="BX27" i="8" s="1"/>
  <c r="W28" i="8"/>
  <c r="BX28" i="8" s="1"/>
  <c r="W32" i="8"/>
  <c r="BX32" i="8" s="1"/>
  <c r="W26" i="8"/>
  <c r="BX26" i="8" s="1"/>
  <c r="W29" i="8"/>
  <c r="BX29" i="8" s="1"/>
  <c r="P95" i="8"/>
  <c r="P90" i="8"/>
  <c r="AN30" i="8"/>
  <c r="CO30" i="8" s="1"/>
  <c r="AN26" i="8"/>
  <c r="CO26" i="8" s="1"/>
  <c r="AN31" i="8"/>
  <c r="CO31" i="8" s="1"/>
  <c r="AN29" i="8"/>
  <c r="CO29" i="8" s="1"/>
  <c r="AN32" i="8"/>
  <c r="CO32" i="8" s="1"/>
  <c r="AN25" i="8"/>
  <c r="CO25" i="8" s="1"/>
  <c r="AN28" i="8"/>
  <c r="CO28" i="8" s="1"/>
  <c r="AN27" i="8"/>
  <c r="CO27" i="8" s="1"/>
  <c r="Q95" i="8"/>
  <c r="Q90" i="8"/>
  <c r="AA32" i="8"/>
  <c r="CB32" i="8" s="1"/>
  <c r="AA30" i="8"/>
  <c r="CB30" i="8" s="1"/>
  <c r="AA27" i="8"/>
  <c r="CB27" i="8" s="1"/>
  <c r="AA26" i="8"/>
  <c r="CB26" i="8" s="1"/>
  <c r="AA28" i="8"/>
  <c r="CB28" i="8" s="1"/>
  <c r="AA31" i="8"/>
  <c r="CB31" i="8" s="1"/>
  <c r="AA25" i="8"/>
  <c r="CB25" i="8" s="1"/>
  <c r="AA29" i="8"/>
  <c r="CB29" i="8" s="1"/>
  <c r="H95" i="8"/>
  <c r="H90" i="8"/>
  <c r="AE95" i="8"/>
  <c r="AE90" i="8"/>
  <c r="AI30" i="8"/>
  <c r="CJ30" i="8" s="1"/>
  <c r="AI29" i="8"/>
  <c r="CJ29" i="8" s="1"/>
  <c r="AI32" i="8"/>
  <c r="CJ32" i="8" s="1"/>
  <c r="AI26" i="8"/>
  <c r="CJ26" i="8" s="1"/>
  <c r="AI31" i="8"/>
  <c r="CJ31" i="8" s="1"/>
  <c r="AI25" i="8"/>
  <c r="CJ25" i="8" s="1"/>
  <c r="AI27" i="8"/>
  <c r="CJ27" i="8" s="1"/>
  <c r="AI28" i="8"/>
  <c r="CJ28" i="8" s="1"/>
  <c r="AZ30" i="8"/>
  <c r="DA30" i="8" s="1"/>
  <c r="AZ29" i="8"/>
  <c r="DA29" i="8" s="1"/>
  <c r="AZ28" i="8"/>
  <c r="DA28" i="8" s="1"/>
  <c r="AZ27" i="8"/>
  <c r="DA27" i="8" s="1"/>
  <c r="AZ25" i="8"/>
  <c r="DA25" i="8" s="1"/>
  <c r="AZ26" i="8"/>
  <c r="DA26" i="8" s="1"/>
  <c r="AZ31" i="8"/>
  <c r="DA31" i="8" s="1"/>
  <c r="AZ32" i="8"/>
  <c r="DA32" i="8" s="1"/>
  <c r="AL29" i="8"/>
  <c r="CM29" i="8" s="1"/>
  <c r="AL27" i="8"/>
  <c r="CM27" i="8" s="1"/>
  <c r="AL26" i="8"/>
  <c r="CM26" i="8" s="1"/>
  <c r="AL31" i="8"/>
  <c r="CM31" i="8" s="1"/>
  <c r="AL30" i="8"/>
  <c r="CM30" i="8" s="1"/>
  <c r="AL28" i="8"/>
  <c r="CM28" i="8" s="1"/>
  <c r="AL25" i="8"/>
  <c r="CM25" i="8" s="1"/>
  <c r="AL32" i="8"/>
  <c r="CM32" i="8" s="1"/>
  <c r="O95" i="8"/>
  <c r="O90" i="8"/>
  <c r="T95" i="8"/>
  <c r="T90" i="8"/>
  <c r="Q26" i="8"/>
  <c r="BR26" i="8" s="1"/>
  <c r="Q27" i="8"/>
  <c r="BR27" i="8" s="1"/>
  <c r="Q30" i="8"/>
  <c r="BR30" i="8" s="1"/>
  <c r="Q32" i="8"/>
  <c r="BR32" i="8" s="1"/>
  <c r="Q28" i="8"/>
  <c r="BR28" i="8" s="1"/>
  <c r="Q25" i="8"/>
  <c r="BR25" i="8" s="1"/>
  <c r="Q29" i="8"/>
  <c r="BR29" i="8" s="1"/>
  <c r="Q31" i="8"/>
  <c r="BR31" i="8" s="1"/>
  <c r="AD32" i="8"/>
  <c r="CE32" i="8" s="1"/>
  <c r="AD31" i="8"/>
  <c r="CE31" i="8" s="1"/>
  <c r="AD29" i="8"/>
  <c r="CE29" i="8" s="1"/>
  <c r="AD27" i="8"/>
  <c r="CE27" i="8" s="1"/>
  <c r="AD30" i="8"/>
  <c r="CE30" i="8" s="1"/>
  <c r="AD28" i="8"/>
  <c r="CE28" i="8" s="1"/>
  <c r="AD25" i="8"/>
  <c r="CE25" i="8" s="1"/>
  <c r="AD26" i="8"/>
  <c r="CE26" i="8" s="1"/>
  <c r="AI90" i="8"/>
  <c r="AI95" i="8"/>
  <c r="N30" i="8"/>
  <c r="BO30" i="8" s="1"/>
  <c r="N26" i="8"/>
  <c r="BO26" i="8" s="1"/>
  <c r="N25" i="8"/>
  <c r="BO25" i="8" s="1"/>
  <c r="N28" i="8"/>
  <c r="BO28" i="8" s="1"/>
  <c r="N29" i="8"/>
  <c r="BO29" i="8" s="1"/>
  <c r="N31" i="8"/>
  <c r="BO31" i="8" s="1"/>
  <c r="N27" i="8"/>
  <c r="BO27" i="8" s="1"/>
  <c r="N32" i="8"/>
  <c r="BO32" i="8" s="1"/>
  <c r="AX31" i="8"/>
  <c r="CY31" i="8" s="1"/>
  <c r="AX26" i="8"/>
  <c r="CY26" i="8" s="1"/>
  <c r="AX27" i="8"/>
  <c r="CY27" i="8" s="1"/>
  <c r="AX32" i="8"/>
  <c r="CY32" i="8" s="1"/>
  <c r="AX30" i="8"/>
  <c r="CY30" i="8" s="1"/>
  <c r="AX25" i="8"/>
  <c r="CY25" i="8" s="1"/>
  <c r="AX29" i="8"/>
  <c r="CY29" i="8" s="1"/>
  <c r="AX28" i="8"/>
  <c r="CY28" i="8" s="1"/>
  <c r="AN95" i="8"/>
  <c r="AN90" i="8"/>
  <c r="R30" i="8"/>
  <c r="BS30" i="8" s="1"/>
  <c r="R27" i="8"/>
  <c r="BS27" i="8" s="1"/>
  <c r="R32" i="8"/>
  <c r="BS32" i="8" s="1"/>
  <c r="R26" i="8"/>
  <c r="BS26" i="8" s="1"/>
  <c r="R31" i="8"/>
  <c r="BS31" i="8" s="1"/>
  <c r="R25" i="8"/>
  <c r="BS25" i="8" s="1"/>
  <c r="R29" i="8"/>
  <c r="BS29" i="8" s="1"/>
  <c r="R28" i="8"/>
  <c r="BS28" i="8" s="1"/>
  <c r="P31" i="8"/>
  <c r="BQ31" i="8" s="1"/>
  <c r="P26" i="8"/>
  <c r="BQ26" i="8" s="1"/>
  <c r="P29" i="8"/>
  <c r="BQ29" i="8" s="1"/>
  <c r="P25" i="8"/>
  <c r="BQ25" i="8" s="1"/>
  <c r="P32" i="8"/>
  <c r="BQ32" i="8" s="1"/>
  <c r="P28" i="8"/>
  <c r="BQ28" i="8" s="1"/>
  <c r="P30" i="8"/>
  <c r="BQ30" i="8" s="1"/>
  <c r="P27" i="8"/>
  <c r="BQ27" i="8" s="1"/>
  <c r="AK29" i="8"/>
  <c r="CL29" i="8" s="1"/>
  <c r="AK25" i="8"/>
  <c r="CL25" i="8" s="1"/>
  <c r="AK26" i="8"/>
  <c r="CL26" i="8" s="1"/>
  <c r="AK31" i="8"/>
  <c r="CL31" i="8" s="1"/>
  <c r="AK32" i="8"/>
  <c r="CL32" i="8" s="1"/>
  <c r="AK30" i="8"/>
  <c r="CL30" i="8" s="1"/>
  <c r="AK27" i="8"/>
  <c r="CL27" i="8" s="1"/>
  <c r="AK28" i="8"/>
  <c r="CL28" i="8" s="1"/>
  <c r="G28" i="8"/>
  <c r="BH28" i="8" s="1"/>
  <c r="G25" i="8"/>
  <c r="BH25" i="8" s="1"/>
  <c r="G27" i="8"/>
  <c r="BH27" i="8" s="1"/>
  <c r="G26" i="8"/>
  <c r="BH26" i="8" s="1"/>
  <c r="G30" i="8"/>
  <c r="BH30" i="8" s="1"/>
  <c r="G32" i="8"/>
  <c r="BH32" i="8" s="1"/>
  <c r="G31" i="8"/>
  <c r="BH31" i="8" s="1"/>
  <c r="G29" i="8"/>
  <c r="BH29" i="8" s="1"/>
  <c r="R90" i="8"/>
  <c r="R95" i="8"/>
  <c r="K95" i="8"/>
  <c r="K90" i="8"/>
  <c r="AF95" i="8"/>
  <c r="AF90" i="8"/>
  <c r="AJ30" i="8"/>
  <c r="CK30" i="8" s="1"/>
  <c r="AJ27" i="8"/>
  <c r="CK27" i="8" s="1"/>
  <c r="AJ32" i="8"/>
  <c r="CK32" i="8" s="1"/>
  <c r="AJ26" i="8"/>
  <c r="CK26" i="8" s="1"/>
  <c r="AJ25" i="8"/>
  <c r="CK25" i="8" s="1"/>
  <c r="AJ31" i="8"/>
  <c r="CK31" i="8" s="1"/>
  <c r="AJ29" i="8"/>
  <c r="CK29" i="8" s="1"/>
  <c r="AJ28" i="8"/>
  <c r="CK28" i="8" s="1"/>
  <c r="U29" i="8"/>
  <c r="BV29" i="8" s="1"/>
  <c r="U28" i="8"/>
  <c r="BV28" i="8" s="1"/>
  <c r="U32" i="8"/>
  <c r="BV32" i="8" s="1"/>
  <c r="U30" i="8"/>
  <c r="BV30" i="8" s="1"/>
  <c r="U27" i="8"/>
  <c r="BV27" i="8" s="1"/>
  <c r="U26" i="8"/>
  <c r="BV26" i="8" s="1"/>
  <c r="U31" i="8"/>
  <c r="BV31" i="8" s="1"/>
  <c r="U25" i="8"/>
  <c r="BV25" i="8" s="1"/>
  <c r="L96" i="8" l="1"/>
  <c r="L97" i="8" s="1"/>
  <c r="M96" i="8"/>
  <c r="M97" i="8" s="1"/>
  <c r="AC96" i="8"/>
  <c r="AC97" i="8" s="1"/>
  <c r="AV96" i="8"/>
  <c r="AV97" i="8" s="1"/>
  <c r="AG96" i="8"/>
  <c r="AG97" i="8" s="1"/>
  <c r="I96" i="8"/>
  <c r="I97" i="8" s="1"/>
  <c r="U96" i="8"/>
  <c r="U97" i="8" s="1"/>
  <c r="AO96" i="8"/>
  <c r="AO97" i="8" s="1"/>
  <c r="AU96" i="8"/>
  <c r="AU97" i="8" s="1"/>
  <c r="AR96" i="8"/>
  <c r="AR97" i="8" s="1"/>
  <c r="Y96" i="8"/>
  <c r="Y97" i="8" s="1"/>
  <c r="AQ96" i="8"/>
  <c r="AQ97" i="8" s="1"/>
  <c r="AZ96" i="8"/>
  <c r="AZ97" i="8" s="1"/>
  <c r="Z96" i="8"/>
  <c r="Z97" i="8" s="1"/>
  <c r="AD96" i="8"/>
  <c r="AD97" i="8" s="1"/>
  <c r="X96" i="8"/>
  <c r="X97" i="8" s="1"/>
  <c r="AK96" i="8"/>
  <c r="AK97" i="8" s="1"/>
  <c r="V96" i="8"/>
  <c r="V97" i="8" s="1"/>
  <c r="EL29" i="8"/>
  <c r="DV29" i="8"/>
  <c r="DF29" i="8"/>
  <c r="ER29" i="8"/>
  <c r="EA29" i="8"/>
  <c r="DJ29" i="8"/>
  <c r="EQ29" i="8"/>
  <c r="DZ29" i="8"/>
  <c r="DI29" i="8"/>
  <c r="EJ29" i="8"/>
  <c r="DQ29" i="8"/>
  <c r="EN29" i="8"/>
  <c r="DS29" i="8"/>
  <c r="EV29" i="8"/>
  <c r="DY29" i="8"/>
  <c r="DC29" i="8"/>
  <c r="EU29" i="8"/>
  <c r="DX29" i="8"/>
  <c r="EM29" i="8"/>
  <c r="DN29" i="8"/>
  <c r="EI29" i="8"/>
  <c r="DL29" i="8"/>
  <c r="EH29" i="8"/>
  <c r="DK29" i="8"/>
  <c r="EF29" i="8"/>
  <c r="DG29" i="8"/>
  <c r="ES29" i="8"/>
  <c r="DH29" i="8"/>
  <c r="EP29" i="8"/>
  <c r="DE29" i="8"/>
  <c r="EO29" i="8"/>
  <c r="DD29" i="8"/>
  <c r="EK29" i="8"/>
  <c r="ET29" i="8"/>
  <c r="EG29" i="8"/>
  <c r="EE29" i="8"/>
  <c r="ED29" i="8"/>
  <c r="EC29" i="8"/>
  <c r="DR29" i="8"/>
  <c r="EB29" i="8"/>
  <c r="DW29" i="8"/>
  <c r="DU29" i="8"/>
  <c r="DT29" i="8"/>
  <c r="DM29" i="8"/>
  <c r="DP29" i="8"/>
  <c r="DO29" i="8"/>
  <c r="EV31" i="8"/>
  <c r="EF31" i="8"/>
  <c r="DP31" i="8"/>
  <c r="EM31" i="8"/>
  <c r="DV31" i="8"/>
  <c r="DE31" i="8"/>
  <c r="EL31" i="8"/>
  <c r="DU31" i="8"/>
  <c r="DD31" i="8"/>
  <c r="ED31" i="8"/>
  <c r="DK31" i="8"/>
  <c r="EC31" i="8"/>
  <c r="DI31" i="8"/>
  <c r="EH31" i="8"/>
  <c r="DL31" i="8"/>
  <c r="EG31" i="8"/>
  <c r="DJ31" i="8"/>
  <c r="EN31" i="8"/>
  <c r="DN31" i="8"/>
  <c r="EJ31" i="8"/>
  <c r="DH31" i="8"/>
  <c r="EI31" i="8"/>
  <c r="DG31" i="8"/>
  <c r="EE31" i="8"/>
  <c r="DF31" i="8"/>
  <c r="EB31" i="8"/>
  <c r="DC31" i="8"/>
  <c r="EQ31" i="8"/>
  <c r="EP31" i="8"/>
  <c r="EO31" i="8"/>
  <c r="EK31" i="8"/>
  <c r="ER31" i="8"/>
  <c r="EA31" i="8"/>
  <c r="DZ31" i="8"/>
  <c r="DY31" i="8"/>
  <c r="DX31" i="8"/>
  <c r="DW31" i="8"/>
  <c r="DT31" i="8"/>
  <c r="DS31" i="8"/>
  <c r="DR31" i="8"/>
  <c r="DQ31" i="8"/>
  <c r="EU31" i="8"/>
  <c r="ES31" i="8"/>
  <c r="ET31" i="8"/>
  <c r="DO31" i="8"/>
  <c r="DM31" i="8"/>
  <c r="EM26" i="8"/>
  <c r="DW26" i="8"/>
  <c r="DG26" i="8"/>
  <c r="EH26" i="8"/>
  <c r="DQ26" i="8"/>
  <c r="EP26" i="8"/>
  <c r="DX26" i="8"/>
  <c r="DE26" i="8"/>
  <c r="EK26" i="8"/>
  <c r="DR26" i="8"/>
  <c r="EN26" i="8"/>
  <c r="DS26" i="8"/>
  <c r="EL26" i="8"/>
  <c r="DP26" i="8"/>
  <c r="ET26" i="8"/>
  <c r="DV26" i="8"/>
  <c r="ER26" i="8"/>
  <c r="DT26" i="8"/>
  <c r="EQ26" i="8"/>
  <c r="DO26" i="8"/>
  <c r="EJ26" i="8"/>
  <c r="DM26" i="8"/>
  <c r="ES26" i="8"/>
  <c r="DJ26" i="8"/>
  <c r="EO26" i="8"/>
  <c r="DI26" i="8"/>
  <c r="EI26" i="8"/>
  <c r="DH26" i="8"/>
  <c r="DU26" i="8"/>
  <c r="DN26" i="8"/>
  <c r="DL26" i="8"/>
  <c r="DK26" i="8"/>
  <c r="DF26" i="8"/>
  <c r="EV26" i="8"/>
  <c r="DD26" i="8"/>
  <c r="EU26" i="8"/>
  <c r="DC26" i="8"/>
  <c r="EG26" i="8"/>
  <c r="EF26" i="8"/>
  <c r="EC26" i="8"/>
  <c r="EA26" i="8"/>
  <c r="EE26" i="8"/>
  <c r="EB26" i="8"/>
  <c r="DZ26" i="8"/>
  <c r="DY26" i="8"/>
  <c r="ED26" i="8"/>
  <c r="AE96" i="8"/>
  <c r="AE97" i="8" s="1"/>
  <c r="EG28" i="8"/>
  <c r="DQ28" i="8"/>
  <c r="ET28" i="8"/>
  <c r="EC28" i="8"/>
  <c r="DL28" i="8"/>
  <c r="ES28" i="8"/>
  <c r="EB28" i="8"/>
  <c r="DK28" i="8"/>
  <c r="EM28" i="8"/>
  <c r="DT28" i="8"/>
  <c r="EH28" i="8"/>
  <c r="DM28" i="8"/>
  <c r="EE28" i="8"/>
  <c r="DH28" i="8"/>
  <c r="ED28" i="8"/>
  <c r="DG28" i="8"/>
  <c r="DZ28" i="8"/>
  <c r="DC28" i="8"/>
  <c r="DX28" i="8"/>
  <c r="EV28" i="8"/>
  <c r="DW28" i="8"/>
  <c r="ER28" i="8"/>
  <c r="DU28" i="8"/>
  <c r="EU28" i="8"/>
  <c r="DO28" i="8"/>
  <c r="EQ28" i="8"/>
  <c r="DN28" i="8"/>
  <c r="EP28" i="8"/>
  <c r="DJ28" i="8"/>
  <c r="DF28" i="8"/>
  <c r="DE28" i="8"/>
  <c r="EO28" i="8"/>
  <c r="DD28" i="8"/>
  <c r="EN28" i="8"/>
  <c r="EL28" i="8"/>
  <c r="EA28" i="8"/>
  <c r="EK28" i="8"/>
  <c r="EJ28" i="8"/>
  <c r="EI28" i="8"/>
  <c r="EF28" i="8"/>
  <c r="DY28" i="8"/>
  <c r="DI28" i="8"/>
  <c r="DV28" i="8"/>
  <c r="DS28" i="8"/>
  <c r="DR28" i="8"/>
  <c r="DP28" i="8"/>
  <c r="AF96" i="8"/>
  <c r="AF97" i="8" s="1"/>
  <c r="T96" i="8"/>
  <c r="T97" i="8" s="1"/>
  <c r="H96" i="8"/>
  <c r="H97" i="8" s="1"/>
  <c r="AP96" i="8"/>
  <c r="AP97" i="8" s="1"/>
  <c r="AX96" i="8"/>
  <c r="AX97" i="8" s="1"/>
  <c r="AH96" i="8"/>
  <c r="AH97" i="8" s="1"/>
  <c r="AN96" i="8"/>
  <c r="AN97" i="8" s="1"/>
  <c r="S96" i="8"/>
  <c r="S97" i="8" s="1"/>
  <c r="AL96" i="8"/>
  <c r="AL97" i="8" s="1"/>
  <c r="AT96" i="8"/>
  <c r="AT97" i="8" s="1"/>
  <c r="W96" i="8"/>
  <c r="W97" i="8" s="1"/>
  <c r="EP25" i="8"/>
  <c r="DZ25" i="8"/>
  <c r="EN25" i="8"/>
  <c r="DW25" i="8"/>
  <c r="DG25" i="8"/>
  <c r="ET25" i="8"/>
  <c r="EB25" i="8"/>
  <c r="DJ25" i="8"/>
  <c r="EL25" i="8"/>
  <c r="DS25" i="8"/>
  <c r="EK25" i="8"/>
  <c r="DR25" i="8"/>
  <c r="EV25" i="8"/>
  <c r="DY25" i="8"/>
  <c r="DD25" i="8"/>
  <c r="ES25" i="8"/>
  <c r="DV25" i="8"/>
  <c r="ER25" i="8"/>
  <c r="DU25" i="8"/>
  <c r="EO25" i="8"/>
  <c r="DQ25" i="8"/>
  <c r="EE25" i="8"/>
  <c r="DC25" i="8"/>
  <c r="ED25" i="8"/>
  <c r="EC25" i="8"/>
  <c r="EU25" i="8"/>
  <c r="DK25" i="8"/>
  <c r="EQ25" i="8"/>
  <c r="EM25" i="8"/>
  <c r="DH25" i="8"/>
  <c r="EJ25" i="8"/>
  <c r="DF25" i="8"/>
  <c r="EI25" i="8"/>
  <c r="DE25" i="8"/>
  <c r="EH25" i="8"/>
  <c r="EG25" i="8"/>
  <c r="EF25" i="8"/>
  <c r="EA25" i="8"/>
  <c r="DL25" i="8"/>
  <c r="DP25" i="8"/>
  <c r="DO25" i="8"/>
  <c r="DN25" i="8"/>
  <c r="DI25" i="8"/>
  <c r="DX25" i="8"/>
  <c r="DT25" i="8"/>
  <c r="DM25" i="8"/>
  <c r="N96" i="8"/>
  <c r="N97" i="8" s="1"/>
  <c r="AA96" i="8"/>
  <c r="AA97" i="8" s="1"/>
  <c r="O96" i="8"/>
  <c r="O97" i="8" s="1"/>
  <c r="AY96" i="8"/>
  <c r="AY97" i="8" s="1"/>
  <c r="AB96" i="8"/>
  <c r="AB97" i="8" s="1"/>
  <c r="R96" i="8"/>
  <c r="R97" i="8" s="1"/>
  <c r="EK32" i="8"/>
  <c r="DU32" i="8"/>
  <c r="DE32" i="8"/>
  <c r="EJ32" i="8"/>
  <c r="DS32" i="8"/>
  <c r="EI32" i="8"/>
  <c r="DR32" i="8"/>
  <c r="EU32" i="8"/>
  <c r="EB32" i="8"/>
  <c r="DI32" i="8"/>
  <c r="EL32" i="8"/>
  <c r="DO32" i="8"/>
  <c r="EA32" i="8"/>
  <c r="DF32" i="8"/>
  <c r="EV32" i="8"/>
  <c r="DZ32" i="8"/>
  <c r="DD32" i="8"/>
  <c r="DY32" i="8"/>
  <c r="DX32" i="8"/>
  <c r="ET32" i="8"/>
  <c r="DW32" i="8"/>
  <c r="ES32" i="8"/>
  <c r="DV32" i="8"/>
  <c r="ER32" i="8"/>
  <c r="DT32" i="8"/>
  <c r="EQ32" i="8"/>
  <c r="DQ32" i="8"/>
  <c r="DN32" i="8"/>
  <c r="DM32" i="8"/>
  <c r="DL32" i="8"/>
  <c r="DK32" i="8"/>
  <c r="DC32" i="8"/>
  <c r="EP32" i="8"/>
  <c r="EO32" i="8"/>
  <c r="EN32" i="8"/>
  <c r="EM32" i="8"/>
  <c r="EH32" i="8"/>
  <c r="EG32" i="8"/>
  <c r="EF32" i="8"/>
  <c r="EE32" i="8"/>
  <c r="EC32" i="8"/>
  <c r="DP32" i="8"/>
  <c r="DH32" i="8"/>
  <c r="ED32" i="8"/>
  <c r="DJ32" i="8"/>
  <c r="DG32" i="8"/>
  <c r="ER27" i="8"/>
  <c r="EB27" i="8"/>
  <c r="DL27" i="8"/>
  <c r="EF27" i="8"/>
  <c r="DO27" i="8"/>
  <c r="EV27" i="8"/>
  <c r="ED27" i="8"/>
  <c r="DK27" i="8"/>
  <c r="EI27" i="8"/>
  <c r="DP27" i="8"/>
  <c r="EQ27" i="8"/>
  <c r="DW27" i="8"/>
  <c r="DC27" i="8"/>
  <c r="EP27" i="8"/>
  <c r="DV27" i="8"/>
  <c r="EU27" i="8"/>
  <c r="DX27" i="8"/>
  <c r="ES27" i="8"/>
  <c r="DT27" i="8"/>
  <c r="EO27" i="8"/>
  <c r="DS27" i="8"/>
  <c r="EM27" i="8"/>
  <c r="DQ27" i="8"/>
  <c r="EC27" i="8"/>
  <c r="EA27" i="8"/>
  <c r="DZ27" i="8"/>
  <c r="EH27" i="8"/>
  <c r="EG27" i="8"/>
  <c r="EE27" i="8"/>
  <c r="DY27" i="8"/>
  <c r="DU27" i="8"/>
  <c r="DI27" i="8"/>
  <c r="DR27" i="8"/>
  <c r="DN27" i="8"/>
  <c r="DM27" i="8"/>
  <c r="DJ27" i="8"/>
  <c r="EN27" i="8"/>
  <c r="EL27" i="8"/>
  <c r="EJ27" i="8"/>
  <c r="DG27" i="8"/>
  <c r="ET27" i="8"/>
  <c r="EK27" i="8"/>
  <c r="DH27" i="8"/>
  <c r="DF27" i="8"/>
  <c r="DE27" i="8"/>
  <c r="DD27" i="8"/>
  <c r="K96" i="8"/>
  <c r="K97" i="8" s="1"/>
  <c r="J96" i="8"/>
  <c r="J97" i="8" s="1"/>
  <c r="P96" i="8"/>
  <c r="P97" i="8" s="1"/>
  <c r="AW96" i="8"/>
  <c r="AW97" i="8" s="1"/>
  <c r="AM96" i="8"/>
  <c r="AM97" i="8" s="1"/>
  <c r="AS96" i="8"/>
  <c r="AS97" i="8" s="1"/>
  <c r="Q96" i="8"/>
  <c r="Q97" i="8" s="1"/>
  <c r="EQ30" i="8"/>
  <c r="EA30" i="8"/>
  <c r="DK30" i="8"/>
  <c r="EO30" i="8"/>
  <c r="DX30" i="8"/>
  <c r="DG30" i="8"/>
  <c r="EN30" i="8"/>
  <c r="DW30" i="8"/>
  <c r="DF30" i="8"/>
  <c r="EG30" i="8"/>
  <c r="DN30" i="8"/>
  <c r="ES30" i="8"/>
  <c r="DV30" i="8"/>
  <c r="EL30" i="8"/>
  <c r="DQ30" i="8"/>
  <c r="EK30" i="8"/>
  <c r="DP30" i="8"/>
  <c r="DZ30" i="8"/>
  <c r="EV30" i="8"/>
  <c r="DU30" i="8"/>
  <c r="EU30" i="8"/>
  <c r="DT30" i="8"/>
  <c r="ER30" i="8"/>
  <c r="DR30" i="8"/>
  <c r="EI30" i="8"/>
  <c r="DD30" i="8"/>
  <c r="EH30" i="8"/>
  <c r="DC30" i="8"/>
  <c r="EF30" i="8"/>
  <c r="EE30" i="8"/>
  <c r="EJ30" i="8"/>
  <c r="ED30" i="8"/>
  <c r="EC30" i="8"/>
  <c r="EB30" i="8"/>
  <c r="DY30" i="8"/>
  <c r="DS30" i="8"/>
  <c r="DO30" i="8"/>
  <c r="DM30" i="8"/>
  <c r="DL30" i="8"/>
  <c r="DJ30" i="8"/>
  <c r="EM30" i="8"/>
  <c r="DI30" i="8"/>
  <c r="ET30" i="8"/>
  <c r="EP30" i="8"/>
  <c r="DH30" i="8"/>
  <c r="DE30" i="8"/>
  <c r="AI96" i="8"/>
  <c r="AI97" i="8" s="1"/>
  <c r="AJ96" i="8"/>
  <c r="AJ97" i="8" s="1"/>
  <c r="O9" i="1" l="1"/>
  <c r="M9" i="1"/>
  <c r="K9" i="1"/>
  <c r="I9" i="1"/>
  <c r="G9" i="1"/>
  <c r="E9" i="1"/>
  <c r="O8" i="1"/>
  <c r="M8" i="1"/>
  <c r="K8" i="1"/>
  <c r="I8" i="1"/>
  <c r="G8" i="1"/>
  <c r="E8" i="1"/>
  <c r="O7" i="1"/>
  <c r="M7" i="1"/>
  <c r="K7" i="1"/>
  <c r="I7" i="1"/>
  <c r="G7" i="1"/>
  <c r="E7" i="1"/>
  <c r="O6" i="1"/>
  <c r="M6" i="1"/>
  <c r="K6" i="1"/>
  <c r="I6" i="1"/>
  <c r="G6" i="1"/>
  <c r="E6" i="1"/>
  <c r="O5" i="1"/>
  <c r="M5" i="1"/>
  <c r="K5" i="1"/>
  <c r="I5" i="1"/>
  <c r="G5" i="1"/>
  <c r="E5" i="1"/>
  <c r="AI26" i="2"/>
  <c r="AI24" i="2"/>
  <c r="AI22" i="2"/>
  <c r="AI20" i="2"/>
  <c r="AI18" i="2"/>
  <c r="AD67" i="2" l="1"/>
  <c r="AD68" i="2"/>
  <c r="AD69" i="2"/>
  <c r="AD70" i="2"/>
  <c r="AD71" i="2"/>
  <c r="AD72" i="2"/>
  <c r="AD66" i="2"/>
  <c r="AJ26" i="2"/>
  <c r="AJ24" i="2"/>
  <c r="AJ22" i="2"/>
  <c r="AJ20" i="2"/>
  <c r="AJ18" i="2"/>
  <c r="AH26" i="2"/>
  <c r="AH24" i="2"/>
  <c r="AH22" i="2"/>
  <c r="AH20" i="2"/>
  <c r="AA62" i="2"/>
  <c r="AA60" i="2"/>
  <c r="AK26" i="2"/>
  <c r="AK24" i="2"/>
  <c r="AD24" i="2" l="1"/>
  <c r="AD22" i="2"/>
  <c r="AD20" i="2"/>
  <c r="AD18" i="2"/>
  <c r="AD28" i="2"/>
  <c r="AD26" i="2"/>
  <c r="AD16" i="2"/>
  <c r="AD30" i="2"/>
  <c r="R87" i="2"/>
  <c r="AB16" i="2" l="1"/>
  <c r="P60" i="1" l="1"/>
  <c r="P59" i="1"/>
  <c r="P58" i="1"/>
  <c r="P57" i="1"/>
  <c r="P56" i="1"/>
  <c r="P55" i="1"/>
  <c r="N60" i="1"/>
  <c r="N59" i="1"/>
  <c r="N58" i="1"/>
  <c r="N57" i="1"/>
  <c r="N56" i="1"/>
  <c r="N55" i="1"/>
  <c r="L60" i="1"/>
  <c r="L59" i="1"/>
  <c r="L58" i="1"/>
  <c r="L57" i="1"/>
  <c r="L56" i="1"/>
  <c r="L55" i="1"/>
  <c r="J60" i="1"/>
  <c r="J59" i="1"/>
  <c r="J58" i="1"/>
  <c r="J57" i="1"/>
  <c r="J56" i="1"/>
  <c r="J55" i="1"/>
  <c r="H60" i="1"/>
  <c r="H59" i="1"/>
  <c r="H58" i="1"/>
  <c r="H57" i="1"/>
  <c r="H56" i="1"/>
  <c r="H55" i="1"/>
  <c r="P69" i="1"/>
  <c r="P68" i="1"/>
  <c r="P67" i="1"/>
  <c r="P66" i="1"/>
  <c r="P65" i="1"/>
  <c r="P64" i="1"/>
  <c r="N69" i="1"/>
  <c r="N68" i="1"/>
  <c r="N67" i="1"/>
  <c r="N66" i="1"/>
  <c r="N65" i="1"/>
  <c r="N64" i="1"/>
  <c r="L69" i="1"/>
  <c r="L68" i="1"/>
  <c r="L67" i="1"/>
  <c r="L66" i="1"/>
  <c r="L65" i="1"/>
  <c r="L64" i="1"/>
  <c r="J69" i="1"/>
  <c r="J68" i="1"/>
  <c r="J67" i="1"/>
  <c r="J66" i="1"/>
  <c r="J65" i="1"/>
  <c r="J64" i="1"/>
  <c r="H69" i="1"/>
  <c r="H68" i="1"/>
  <c r="H67" i="1"/>
  <c r="H66" i="1"/>
  <c r="H65" i="1"/>
  <c r="H64" i="1"/>
  <c r="F69" i="1"/>
  <c r="F68" i="1"/>
  <c r="F67" i="1"/>
  <c r="F66" i="1"/>
  <c r="F65" i="1"/>
  <c r="F64" i="1"/>
  <c r="F60" i="1"/>
  <c r="F59" i="1"/>
  <c r="F58" i="1"/>
  <c r="F57" i="1"/>
  <c r="F56" i="1"/>
  <c r="F55" i="1"/>
  <c r="P40" i="1"/>
  <c r="P39" i="1"/>
  <c r="P38" i="1"/>
  <c r="P37" i="1"/>
  <c r="P36" i="1"/>
  <c r="P35" i="1"/>
  <c r="N40" i="1"/>
  <c r="N39" i="1"/>
  <c r="N38" i="1"/>
  <c r="N37" i="1"/>
  <c r="N36" i="1"/>
  <c r="N35" i="1"/>
  <c r="L40" i="1"/>
  <c r="L39" i="1"/>
  <c r="L38" i="1"/>
  <c r="L37" i="1"/>
  <c r="L36" i="1"/>
  <c r="L35" i="1"/>
  <c r="J40" i="1"/>
  <c r="J39" i="1"/>
  <c r="J38" i="1"/>
  <c r="J37" i="1"/>
  <c r="J36" i="1"/>
  <c r="J35" i="1"/>
  <c r="H40" i="1"/>
  <c r="H39" i="1"/>
  <c r="H38" i="1"/>
  <c r="H37" i="1"/>
  <c r="H36" i="1"/>
  <c r="H35" i="1"/>
  <c r="P49" i="1"/>
  <c r="P48" i="1"/>
  <c r="P47" i="1"/>
  <c r="P46" i="1"/>
  <c r="P45" i="1"/>
  <c r="P44" i="1"/>
  <c r="N49" i="1"/>
  <c r="N48" i="1"/>
  <c r="N47" i="1"/>
  <c r="N46" i="1"/>
  <c r="N45" i="1"/>
  <c r="N44" i="1"/>
  <c r="L49" i="1"/>
  <c r="L48" i="1"/>
  <c r="L47" i="1"/>
  <c r="L46" i="1"/>
  <c r="L45" i="1"/>
  <c r="L44" i="1"/>
  <c r="J49" i="1"/>
  <c r="J48" i="1"/>
  <c r="J47" i="1"/>
  <c r="J46" i="1"/>
  <c r="J45" i="1"/>
  <c r="J44" i="1"/>
  <c r="H49" i="1"/>
  <c r="H48" i="1"/>
  <c r="H47" i="1"/>
  <c r="H46" i="1"/>
  <c r="H45" i="1"/>
  <c r="H44" i="1"/>
  <c r="F49" i="1"/>
  <c r="F48" i="1"/>
  <c r="F47" i="1"/>
  <c r="F46" i="1"/>
  <c r="F45" i="1"/>
  <c r="F44" i="1"/>
  <c r="F40" i="1"/>
  <c r="F39" i="1"/>
  <c r="F38" i="1"/>
  <c r="F37" i="1"/>
  <c r="F36" i="1"/>
  <c r="F35" i="1"/>
  <c r="P29" i="1"/>
  <c r="P28" i="1"/>
  <c r="P27" i="1"/>
  <c r="P26" i="1"/>
  <c r="P25" i="1"/>
  <c r="P24" i="1"/>
  <c r="N29" i="1"/>
  <c r="N28" i="1"/>
  <c r="N27" i="1"/>
  <c r="N26" i="1"/>
  <c r="N25" i="1"/>
  <c r="N24" i="1"/>
  <c r="L29" i="1"/>
  <c r="L28" i="1"/>
  <c r="L27" i="1"/>
  <c r="L26" i="1"/>
  <c r="L25" i="1"/>
  <c r="L24" i="1"/>
  <c r="J29" i="1"/>
  <c r="J28" i="1"/>
  <c r="J27" i="1"/>
  <c r="J26" i="1"/>
  <c r="J25" i="1"/>
  <c r="J24" i="1"/>
  <c r="H29" i="1"/>
  <c r="H28" i="1"/>
  <c r="H27" i="1"/>
  <c r="H26" i="1"/>
  <c r="H25" i="1"/>
  <c r="H24" i="1"/>
  <c r="F29" i="1"/>
  <c r="F28" i="1"/>
  <c r="F27" i="1"/>
  <c r="F26" i="1"/>
  <c r="F25" i="1"/>
  <c r="F24" i="1"/>
  <c r="P20" i="1"/>
  <c r="P19" i="1"/>
  <c r="P18" i="1"/>
  <c r="P17" i="1"/>
  <c r="P16" i="1"/>
  <c r="P15" i="1"/>
  <c r="AA26" i="2" s="1"/>
  <c r="N20" i="1"/>
  <c r="N19" i="1"/>
  <c r="N18" i="1"/>
  <c r="N17" i="1"/>
  <c r="N16" i="1"/>
  <c r="N15" i="1"/>
  <c r="L20" i="1"/>
  <c r="L19" i="1"/>
  <c r="L18" i="1"/>
  <c r="L17" i="1"/>
  <c r="L16" i="1"/>
  <c r="L15" i="1"/>
  <c r="AA22" i="2" s="1"/>
  <c r="J20" i="1"/>
  <c r="J19" i="1"/>
  <c r="J18" i="1"/>
  <c r="J17" i="1"/>
  <c r="J16" i="1"/>
  <c r="J15" i="1"/>
  <c r="AA20" i="2" s="1"/>
  <c r="H20" i="1"/>
  <c r="H19" i="1"/>
  <c r="H18" i="1"/>
  <c r="H17" i="1"/>
  <c r="H16" i="1"/>
  <c r="H15" i="1"/>
  <c r="F20" i="1"/>
  <c r="F17" i="1"/>
  <c r="F18" i="1"/>
  <c r="F19" i="1"/>
  <c r="F16" i="1"/>
  <c r="F15" i="1"/>
  <c r="P9" i="1"/>
  <c r="P8" i="1"/>
  <c r="P7" i="1"/>
  <c r="P6" i="1"/>
  <c r="P5" i="1"/>
  <c r="P4" i="1"/>
  <c r="N9" i="1"/>
  <c r="N8" i="1"/>
  <c r="N7" i="1"/>
  <c r="N6" i="1"/>
  <c r="N5" i="1"/>
  <c r="N4" i="1"/>
  <c r="L9" i="1"/>
  <c r="L8" i="1"/>
  <c r="L7" i="1"/>
  <c r="L6" i="1"/>
  <c r="L5" i="1"/>
  <c r="L4" i="1"/>
  <c r="Z22" i="2" s="1"/>
  <c r="J9" i="1"/>
  <c r="J8" i="1"/>
  <c r="J7" i="1"/>
  <c r="J6" i="1"/>
  <c r="J5" i="1"/>
  <c r="J4" i="1"/>
  <c r="H9" i="1"/>
  <c r="H8" i="1"/>
  <c r="H7" i="1"/>
  <c r="H6" i="1"/>
  <c r="H5" i="1"/>
  <c r="H4" i="1"/>
  <c r="Z18" i="2" s="1"/>
  <c r="F4" i="1"/>
  <c r="F6" i="1"/>
  <c r="F7" i="1"/>
  <c r="F8" i="1"/>
  <c r="F9" i="1"/>
  <c r="F5" i="1"/>
  <c r="G65" i="1"/>
  <c r="I65" i="1"/>
  <c r="K65" i="1"/>
  <c r="M65" i="1"/>
  <c r="O65" i="1"/>
  <c r="G66" i="1"/>
  <c r="I66" i="1"/>
  <c r="K66" i="1"/>
  <c r="M66" i="1"/>
  <c r="O66" i="1"/>
  <c r="G67" i="1"/>
  <c r="I67" i="1"/>
  <c r="K67" i="1"/>
  <c r="M67" i="1"/>
  <c r="O67" i="1"/>
  <c r="G68" i="1"/>
  <c r="I68" i="1"/>
  <c r="K68" i="1"/>
  <c r="M68" i="1"/>
  <c r="O68" i="1"/>
  <c r="G69" i="1"/>
  <c r="I69" i="1"/>
  <c r="K69" i="1"/>
  <c r="M69" i="1"/>
  <c r="O69" i="1"/>
  <c r="E69" i="1"/>
  <c r="E68" i="1"/>
  <c r="E67" i="1"/>
  <c r="E66" i="1"/>
  <c r="E65" i="1"/>
  <c r="G56" i="1"/>
  <c r="I56" i="1"/>
  <c r="K56" i="1"/>
  <c r="M56" i="1"/>
  <c r="O56" i="1"/>
  <c r="G57" i="1"/>
  <c r="I57" i="1"/>
  <c r="K57" i="1"/>
  <c r="M57" i="1"/>
  <c r="O57" i="1"/>
  <c r="G58" i="1"/>
  <c r="I58" i="1"/>
  <c r="K58" i="1"/>
  <c r="M58" i="1"/>
  <c r="O58" i="1"/>
  <c r="G59" i="1"/>
  <c r="I59" i="1"/>
  <c r="K59" i="1"/>
  <c r="M59" i="1"/>
  <c r="O59" i="1"/>
  <c r="G60" i="1"/>
  <c r="I60" i="1"/>
  <c r="K60" i="1"/>
  <c r="M60" i="1"/>
  <c r="O60" i="1"/>
  <c r="E60" i="1"/>
  <c r="E58" i="1"/>
  <c r="E59" i="1"/>
  <c r="E57" i="1"/>
  <c r="E56" i="1"/>
  <c r="G45" i="1"/>
  <c r="I45" i="1"/>
  <c r="K45" i="1"/>
  <c r="M45" i="1"/>
  <c r="O45" i="1"/>
  <c r="G46" i="1"/>
  <c r="I46" i="1"/>
  <c r="K46" i="1"/>
  <c r="M46" i="1"/>
  <c r="O46" i="1"/>
  <c r="G47" i="1"/>
  <c r="I47" i="1"/>
  <c r="K47" i="1"/>
  <c r="M47" i="1"/>
  <c r="O47" i="1"/>
  <c r="G48" i="1"/>
  <c r="I48" i="1"/>
  <c r="K48" i="1"/>
  <c r="M48" i="1"/>
  <c r="O48" i="1"/>
  <c r="G49" i="1"/>
  <c r="I49" i="1"/>
  <c r="K49" i="1"/>
  <c r="M49" i="1"/>
  <c r="O49" i="1"/>
  <c r="E49" i="1"/>
  <c r="E48" i="1"/>
  <c r="E47" i="1"/>
  <c r="E46" i="1"/>
  <c r="E45" i="1"/>
  <c r="G36" i="1"/>
  <c r="I36" i="1"/>
  <c r="K36" i="1"/>
  <c r="M36" i="1"/>
  <c r="O36" i="1"/>
  <c r="G37" i="1"/>
  <c r="I37" i="1"/>
  <c r="K37" i="1"/>
  <c r="M37" i="1"/>
  <c r="O37" i="1"/>
  <c r="G38" i="1"/>
  <c r="I38" i="1"/>
  <c r="K38" i="1"/>
  <c r="M38" i="1"/>
  <c r="O38" i="1"/>
  <c r="G39" i="1"/>
  <c r="I39" i="1"/>
  <c r="K39" i="1"/>
  <c r="M39" i="1"/>
  <c r="O39" i="1"/>
  <c r="G40" i="1"/>
  <c r="I40" i="1"/>
  <c r="K40" i="1"/>
  <c r="M40" i="1"/>
  <c r="O40" i="1"/>
  <c r="E40" i="1"/>
  <c r="E39" i="1"/>
  <c r="E38" i="1"/>
  <c r="E37" i="1"/>
  <c r="E36" i="1"/>
  <c r="E25" i="1"/>
  <c r="E29" i="1"/>
  <c r="E28" i="1"/>
  <c r="E27" i="1"/>
  <c r="E26" i="1"/>
  <c r="O29" i="1"/>
  <c r="M29" i="1"/>
  <c r="K29" i="1"/>
  <c r="I29" i="1"/>
  <c r="G29" i="1"/>
  <c r="O28" i="1"/>
  <c r="M28" i="1"/>
  <c r="K28" i="1"/>
  <c r="I28" i="1"/>
  <c r="G28" i="1"/>
  <c r="O27" i="1"/>
  <c r="M27" i="1"/>
  <c r="K27" i="1"/>
  <c r="I27" i="1"/>
  <c r="G27" i="1"/>
  <c r="O26" i="1"/>
  <c r="M26" i="1"/>
  <c r="K26" i="1"/>
  <c r="I26" i="1"/>
  <c r="G26" i="1"/>
  <c r="O25" i="1"/>
  <c r="M25" i="1"/>
  <c r="K25" i="1"/>
  <c r="I25" i="1"/>
  <c r="G25" i="1"/>
  <c r="G16" i="1"/>
  <c r="I16" i="1"/>
  <c r="K16" i="1"/>
  <c r="M16" i="1"/>
  <c r="O16" i="1"/>
  <c r="G17" i="1"/>
  <c r="I17" i="1"/>
  <c r="K17" i="1"/>
  <c r="M17" i="1"/>
  <c r="O17" i="1"/>
  <c r="G18" i="1"/>
  <c r="I18" i="1"/>
  <c r="K18" i="1"/>
  <c r="M18" i="1"/>
  <c r="O18" i="1"/>
  <c r="G19" i="1"/>
  <c r="I19" i="1"/>
  <c r="K19" i="1"/>
  <c r="M19" i="1"/>
  <c r="O19" i="1"/>
  <c r="G20" i="1"/>
  <c r="I20" i="1"/>
  <c r="K20" i="1"/>
  <c r="M20" i="1"/>
  <c r="O20" i="1"/>
  <c r="E20" i="1"/>
  <c r="E19" i="1"/>
  <c r="E18" i="1"/>
  <c r="E17" i="1"/>
  <c r="E16" i="1"/>
  <c r="AG28" i="2" l="1"/>
  <c r="AA24" i="2"/>
  <c r="AA18" i="2"/>
  <c r="AA16" i="2"/>
  <c r="Z20" i="2"/>
  <c r="Z26" i="2"/>
  <c r="Z24" i="2"/>
  <c r="Z16" i="2"/>
  <c r="AG30" i="2"/>
  <c r="AE30" i="2"/>
  <c r="AE28" i="2" l="1"/>
  <c r="AE16" i="2"/>
  <c r="AG16" i="2"/>
  <c r="AE22" i="2"/>
  <c r="AE24" i="2"/>
  <c r="AE18" i="2"/>
  <c r="AE20" i="2"/>
  <c r="AG24" i="2"/>
  <c r="AL24" i="2" s="1"/>
  <c r="AG18" i="2"/>
  <c r="AL18" i="2" s="1"/>
  <c r="AG20" i="2"/>
  <c r="AK20" i="2" s="1"/>
  <c r="AG22" i="2"/>
  <c r="AL22" i="2" s="1"/>
  <c r="AK16" i="2" l="1"/>
  <c r="AE26" i="2"/>
  <c r="AK22" i="2"/>
  <c r="AL20" i="2"/>
  <c r="AK18" i="2"/>
  <c r="AG26" i="2"/>
  <c r="AL26" i="2" s="1"/>
  <c r="AA64" i="2" l="1"/>
  <c r="AA33" i="2"/>
  <c r="AA66" i="2" l="1"/>
  <c r="AH78" i="2" s="1"/>
  <c r="J99" i="2" s="1"/>
  <c r="AH68" i="2" l="1"/>
  <c r="B28" i="8" s="1"/>
  <c r="AH71" i="2"/>
  <c r="B31" i="8" s="1"/>
  <c r="AH65" i="2"/>
  <c r="AH72" i="2"/>
  <c r="B32" i="8" s="1"/>
  <c r="AH66" i="2"/>
  <c r="B26" i="8" s="1"/>
  <c r="AH67" i="2"/>
  <c r="B27" i="8" s="1"/>
  <c r="AH70" i="2"/>
  <c r="B30" i="8" s="1"/>
  <c r="AH69" i="2"/>
  <c r="B29" i="8" s="1"/>
  <c r="R85" i="2"/>
  <c r="R86" i="2" l="1"/>
  <c r="AA68" i="2"/>
  <c r="B25" i="8"/>
  <c r="AF98" i="8" s="1"/>
  <c r="D94" i="2"/>
  <c r="D92" i="2"/>
  <c r="D90" i="2"/>
  <c r="D89" i="2"/>
  <c r="H89" i="2" s="1"/>
  <c r="AH76" i="2"/>
  <c r="AH77" i="2"/>
  <c r="O98" i="8"/>
  <c r="AB98" i="8"/>
  <c r="AQ98" i="8"/>
  <c r="AT98" i="8"/>
  <c r="K98" i="8"/>
  <c r="Z98" i="8"/>
  <c r="J98" i="8"/>
  <c r="AH98" i="8" l="1"/>
  <c r="AY98" i="8"/>
  <c r="AI98" i="8"/>
  <c r="AK98" i="8"/>
  <c r="W98" i="8"/>
  <c r="AL98" i="8"/>
  <c r="AC98" i="8"/>
  <c r="AD98" i="8"/>
  <c r="AV98" i="8"/>
  <c r="AG98" i="8"/>
  <c r="AA98" i="8"/>
  <c r="AN98" i="8"/>
  <c r="P98" i="8"/>
  <c r="D106" i="2" s="1"/>
  <c r="AR98" i="8"/>
  <c r="Q98" i="8"/>
  <c r="D108" i="2" s="1"/>
  <c r="AM98" i="8"/>
  <c r="R98" i="8"/>
  <c r="D110" i="2" s="1"/>
  <c r="V98" i="8"/>
  <c r="D118" i="2" s="1"/>
  <c r="M98" i="8"/>
  <c r="D100" i="2" s="1"/>
  <c r="AU98" i="8"/>
  <c r="T98" i="8"/>
  <c r="D114" i="2" s="1"/>
  <c r="AW98" i="8"/>
  <c r="L98" i="8"/>
  <c r="AJ98" i="8"/>
  <c r="AO98" i="8"/>
  <c r="U98" i="8"/>
  <c r="D116" i="2" s="1"/>
  <c r="AS98" i="8"/>
  <c r="H98" i="8"/>
  <c r="I98" i="8"/>
  <c r="S98" i="8"/>
  <c r="D112" i="2" s="1"/>
  <c r="Y98" i="8"/>
  <c r="D124" i="2" s="1"/>
  <c r="X98" i="8"/>
  <c r="D122" i="2" s="1"/>
  <c r="AE98" i="8"/>
  <c r="AX98" i="8"/>
  <c r="AZ98" i="8"/>
  <c r="N98" i="8"/>
  <c r="D102" i="2" s="1"/>
  <c r="AP98" i="8"/>
  <c r="D98" i="2"/>
  <c r="D104" i="2"/>
  <c r="D96" i="2"/>
  <c r="D126" i="2"/>
  <c r="D120" i="2"/>
  <c r="J96" i="2"/>
  <c r="H90" i="2"/>
  <c r="H92" i="2" s="1"/>
  <c r="H94" i="2" s="1"/>
  <c r="H96" i="2" l="1"/>
  <c r="H98" i="2" s="1"/>
  <c r="H100" i="2" s="1"/>
  <c r="H102" i="2" s="1"/>
  <c r="H104" i="2" s="1"/>
  <c r="H106" i="2" s="1"/>
  <c r="H108" i="2" s="1"/>
  <c r="H110" i="2" s="1"/>
  <c r="H112" i="2" s="1"/>
  <c r="H114" i="2" s="1"/>
  <c r="H116" i="2" s="1"/>
  <c r="H118" i="2" s="1"/>
  <c r="H120" i="2" s="1"/>
  <c r="H122" i="2" s="1"/>
  <c r="H124" i="2" s="1"/>
  <c r="H126" i="2" s="1"/>
</calcChain>
</file>

<file path=xl/sharedStrings.xml><?xml version="1.0" encoding="utf-8"?>
<sst xmlns="http://schemas.openxmlformats.org/spreadsheetml/2006/main" count="721" uniqueCount="477">
  <si>
    <t>給与収入n</t>
    <phoneticPr fontId="4"/>
  </si>
  <si>
    <t>給与所得i</t>
    <phoneticPr fontId="4"/>
  </si>
  <si>
    <t>min</t>
    <phoneticPr fontId="4"/>
  </si>
  <si>
    <t>MAX</t>
    <phoneticPr fontId="4"/>
  </si>
  <si>
    <t>計算式</t>
    <rPh sb="0" eb="3">
      <t>ケイサンシキ</t>
    </rPh>
    <phoneticPr fontId="4"/>
  </si>
  <si>
    <t>n*0.7-8万</t>
    <rPh sb="7" eb="8">
      <t>マン</t>
    </rPh>
    <phoneticPr fontId="4"/>
  </si>
  <si>
    <t>n*0.9-110万</t>
    <phoneticPr fontId="4"/>
  </si>
  <si>
    <t>n-195万</t>
    <phoneticPr fontId="4"/>
  </si>
  <si>
    <t>令和2年分以降の公的年金等に係る雑所得計算</t>
    <rPh sb="0" eb="2">
      <t>レイワ</t>
    </rPh>
    <rPh sb="3" eb="5">
      <t>ネンブン</t>
    </rPh>
    <rPh sb="5" eb="7">
      <t>イコウ</t>
    </rPh>
    <rPh sb="8" eb="10">
      <t>コウテキ</t>
    </rPh>
    <rPh sb="10" eb="12">
      <t>ネンキン</t>
    </rPh>
    <rPh sb="12" eb="13">
      <t>トウ</t>
    </rPh>
    <rPh sb="14" eb="15">
      <t>カカ</t>
    </rPh>
    <rPh sb="16" eb="19">
      <t>ザッショトク</t>
    </rPh>
    <rPh sb="19" eb="21">
      <t>ケイサン</t>
    </rPh>
    <phoneticPr fontId="4"/>
  </si>
  <si>
    <t>■65歳未満</t>
    <rPh sb="3" eb="4">
      <t>サイ</t>
    </rPh>
    <rPh sb="4" eb="6">
      <t>ミマン</t>
    </rPh>
    <phoneticPr fontId="4"/>
  </si>
  <si>
    <t>年金収入n</t>
    <rPh sb="0" eb="2">
      <t>ネンキン</t>
    </rPh>
    <phoneticPr fontId="4"/>
  </si>
  <si>
    <t>年金雑所得i</t>
    <rPh sb="0" eb="2">
      <t>ネンキン</t>
    </rPh>
    <rPh sb="2" eb="3">
      <t>ザツ</t>
    </rPh>
    <phoneticPr fontId="4"/>
  </si>
  <si>
    <t>n-60万</t>
    <rPh sb="4" eb="5">
      <t>マン</t>
    </rPh>
    <phoneticPr fontId="4"/>
  </si>
  <si>
    <t>n*0.75-27.5万</t>
    <rPh sb="11" eb="12">
      <t>マン</t>
    </rPh>
    <phoneticPr fontId="4"/>
  </si>
  <si>
    <t>n*0.85-68.5万</t>
    <rPh sb="11" eb="12">
      <t>マン</t>
    </rPh>
    <phoneticPr fontId="4"/>
  </si>
  <si>
    <t>n*0.95-145.5万</t>
    <rPh sb="12" eb="13">
      <t>マン</t>
    </rPh>
    <phoneticPr fontId="4"/>
  </si>
  <si>
    <t>n-195.5万</t>
    <rPh sb="7" eb="8">
      <t>マン</t>
    </rPh>
    <phoneticPr fontId="4"/>
  </si>
  <si>
    <t>■65歳以上</t>
    <rPh sb="3" eb="4">
      <t>サイ</t>
    </rPh>
    <rPh sb="4" eb="6">
      <t>イジョウ</t>
    </rPh>
    <phoneticPr fontId="4"/>
  </si>
  <si>
    <t>n-110万</t>
    <rPh sb="5" eb="6">
      <t>マン</t>
    </rPh>
    <phoneticPr fontId="4"/>
  </si>
  <si>
    <t>（公的年金等に係る雑所得以外の合計所得金額が1000万円以下）</t>
    <rPh sb="1" eb="3">
      <t>コウテキ</t>
    </rPh>
    <rPh sb="3" eb="5">
      <t>ネンキン</t>
    </rPh>
    <rPh sb="5" eb="6">
      <t>トウ</t>
    </rPh>
    <rPh sb="7" eb="8">
      <t>カカ</t>
    </rPh>
    <rPh sb="9" eb="12">
      <t>ザッショトク</t>
    </rPh>
    <rPh sb="12" eb="14">
      <t>イガイ</t>
    </rPh>
    <rPh sb="15" eb="17">
      <t>ゴウケイ</t>
    </rPh>
    <rPh sb="17" eb="19">
      <t>ショトク</t>
    </rPh>
    <rPh sb="19" eb="21">
      <t>キンガク</t>
    </rPh>
    <rPh sb="26" eb="30">
      <t>マンエンイカ</t>
    </rPh>
    <phoneticPr fontId="4"/>
  </si>
  <si>
    <t>（公的年金等に係る雑所得以外の合計所得金額が1000万円超2000万円以下）</t>
    <rPh sb="1" eb="3">
      <t>コウテキ</t>
    </rPh>
    <rPh sb="3" eb="5">
      <t>ネンキン</t>
    </rPh>
    <rPh sb="5" eb="6">
      <t>トウ</t>
    </rPh>
    <rPh sb="7" eb="8">
      <t>カカ</t>
    </rPh>
    <rPh sb="9" eb="12">
      <t>ザッショトク</t>
    </rPh>
    <rPh sb="12" eb="14">
      <t>イガイ</t>
    </rPh>
    <rPh sb="15" eb="17">
      <t>ゴウケイ</t>
    </rPh>
    <rPh sb="17" eb="19">
      <t>ショトク</t>
    </rPh>
    <rPh sb="19" eb="21">
      <t>キンガク</t>
    </rPh>
    <rPh sb="27" eb="29">
      <t>エンチョウ</t>
    </rPh>
    <rPh sb="33" eb="35">
      <t>マンエン</t>
    </rPh>
    <rPh sb="35" eb="37">
      <t>イカ</t>
    </rPh>
    <phoneticPr fontId="4"/>
  </si>
  <si>
    <t>n-50万</t>
    <rPh sb="4" eb="5">
      <t>マン</t>
    </rPh>
    <phoneticPr fontId="4"/>
  </si>
  <si>
    <t>n*0.75-17.5万</t>
    <rPh sb="11" eb="12">
      <t>マン</t>
    </rPh>
    <phoneticPr fontId="4"/>
  </si>
  <si>
    <t>n*0.85-58.5万</t>
    <rPh sb="11" eb="12">
      <t>マン</t>
    </rPh>
    <phoneticPr fontId="4"/>
  </si>
  <si>
    <t>n*0.95-135.5万</t>
    <rPh sb="12" eb="13">
      <t>マン</t>
    </rPh>
    <phoneticPr fontId="4"/>
  </si>
  <si>
    <t>n-185.5万</t>
    <rPh sb="7" eb="8">
      <t>マン</t>
    </rPh>
    <phoneticPr fontId="4"/>
  </si>
  <si>
    <t>n-100万</t>
    <rPh sb="5" eb="6">
      <t>マン</t>
    </rPh>
    <phoneticPr fontId="4"/>
  </si>
  <si>
    <t>（公的年金等に係る雑所得以外の合計所得金額が2000万円超）</t>
    <rPh sb="1" eb="3">
      <t>コウテキ</t>
    </rPh>
    <rPh sb="3" eb="5">
      <t>ネンキン</t>
    </rPh>
    <rPh sb="5" eb="6">
      <t>トウ</t>
    </rPh>
    <rPh sb="7" eb="8">
      <t>カカ</t>
    </rPh>
    <rPh sb="9" eb="12">
      <t>ザッショトク</t>
    </rPh>
    <rPh sb="12" eb="14">
      <t>イガイ</t>
    </rPh>
    <rPh sb="15" eb="17">
      <t>ゴウケイ</t>
    </rPh>
    <rPh sb="17" eb="19">
      <t>ショトク</t>
    </rPh>
    <rPh sb="19" eb="21">
      <t>キンガク</t>
    </rPh>
    <rPh sb="27" eb="29">
      <t>エンチョウ</t>
    </rPh>
    <phoneticPr fontId="4"/>
  </si>
  <si>
    <t>n-40万</t>
    <rPh sb="4" eb="5">
      <t>マン</t>
    </rPh>
    <phoneticPr fontId="4"/>
  </si>
  <si>
    <t>n*0.75-7.5万</t>
    <rPh sb="10" eb="11">
      <t>マン</t>
    </rPh>
    <phoneticPr fontId="4"/>
  </si>
  <si>
    <t>n*0.85-48.5万</t>
    <rPh sb="11" eb="12">
      <t>マン</t>
    </rPh>
    <phoneticPr fontId="4"/>
  </si>
  <si>
    <t>n*0.95-125.5万</t>
    <rPh sb="12" eb="13">
      <t>マン</t>
    </rPh>
    <phoneticPr fontId="4"/>
  </si>
  <si>
    <t>n-175.5万</t>
    <rPh sb="7" eb="8">
      <t>マン</t>
    </rPh>
    <phoneticPr fontId="4"/>
  </si>
  <si>
    <t>n-90万</t>
    <rPh sb="4" eb="5">
      <t>マン</t>
    </rPh>
    <phoneticPr fontId="4"/>
  </si>
  <si>
    <t>年齢</t>
    <rPh sb="0" eb="2">
      <t>ネンレイ</t>
    </rPh>
    <phoneticPr fontId="4"/>
  </si>
  <si>
    <r>
      <rPr>
        <b/>
        <sz val="12"/>
        <rFont val="Yu Gothic UI"/>
        <family val="3"/>
        <charset val="128"/>
      </rPr>
      <t>給与等</t>
    </r>
    <r>
      <rPr>
        <sz val="12"/>
        <rFont val="Yu Gothic UI"/>
        <family val="3"/>
        <charset val="128"/>
      </rPr>
      <t>の
年間収入金額</t>
    </r>
    <phoneticPr fontId="4"/>
  </si>
  <si>
    <r>
      <rPr>
        <b/>
        <sz val="12"/>
        <rFont val="Yu Gothic UI"/>
        <family val="3"/>
        <charset val="128"/>
      </rPr>
      <t>公的年金等</t>
    </r>
    <r>
      <rPr>
        <sz val="12"/>
        <rFont val="Yu Gothic UI"/>
        <family val="3"/>
        <charset val="128"/>
      </rPr>
      <t>の
年間収入金額</t>
    </r>
    <rPh sb="0" eb="5">
      <t>コウテキネンキントウ</t>
    </rPh>
    <rPh sb="9" eb="13">
      <t>シュウニュウキンガク</t>
    </rPh>
    <phoneticPr fontId="4"/>
  </si>
  <si>
    <r>
      <t>年間の</t>
    </r>
    <r>
      <rPr>
        <b/>
        <sz val="12"/>
        <rFont val="Yu Gothic UI"/>
        <family val="3"/>
        <charset val="128"/>
      </rPr>
      <t>事業所得</t>
    </r>
    <r>
      <rPr>
        <sz val="12"/>
        <rFont val="Yu Gothic UI"/>
        <family val="3"/>
        <charset val="128"/>
      </rPr>
      <t xml:space="preserve">
（年収－経費）</t>
    </r>
    <rPh sb="3" eb="5">
      <t>ジギョウ</t>
    </rPh>
    <phoneticPr fontId="4"/>
  </si>
  <si>
    <t>2人目</t>
    <rPh sb="1" eb="3">
      <t>ニンメ</t>
    </rPh>
    <phoneticPr fontId="4"/>
  </si>
  <si>
    <t>3人目</t>
    <rPh sb="1" eb="3">
      <t>ニンメ</t>
    </rPh>
    <phoneticPr fontId="4"/>
  </si>
  <si>
    <t>4人目</t>
    <rPh sb="1" eb="3">
      <t>ニンメ</t>
    </rPh>
    <phoneticPr fontId="4"/>
  </si>
  <si>
    <t>5人目</t>
    <rPh sb="1" eb="3">
      <t>ニンメ</t>
    </rPh>
    <phoneticPr fontId="4"/>
  </si>
  <si>
    <t>6人目</t>
    <rPh sb="1" eb="3">
      <t>ニンメ</t>
    </rPh>
    <phoneticPr fontId="4"/>
  </si>
  <si>
    <t>1人目
(世帯主)</t>
    <rPh sb="1" eb="3">
      <t>ニンメ</t>
    </rPh>
    <rPh sb="5" eb="8">
      <t>セタイヌシ</t>
    </rPh>
    <phoneticPr fontId="4"/>
  </si>
  <si>
    <t>入居者・
同居者</t>
    <rPh sb="0" eb="3">
      <t>ニュウキョシャ</t>
    </rPh>
    <rPh sb="5" eb="8">
      <t>ドウキョシャ</t>
    </rPh>
    <phoneticPr fontId="4"/>
  </si>
  <si>
    <t>1人目</t>
    <rPh sb="1" eb="3">
      <t>ニンメ</t>
    </rPh>
    <phoneticPr fontId="4"/>
  </si>
  <si>
    <t>公的年金等に係る雑所得</t>
    <phoneticPr fontId="4"/>
  </si>
  <si>
    <t>給与所得</t>
    <rPh sb="0" eb="4">
      <t>キュウヨショトク</t>
    </rPh>
    <phoneticPr fontId="4"/>
  </si>
  <si>
    <t>事業所得</t>
    <phoneticPr fontId="4"/>
  </si>
  <si>
    <t>人</t>
    <rPh sb="0" eb="1">
      <t>ニン</t>
    </rPh>
    <phoneticPr fontId="4"/>
  </si>
  <si>
    <t>基礎控除振替</t>
    <rPh sb="0" eb="4">
      <t>キソコウジョ</t>
    </rPh>
    <rPh sb="4" eb="6">
      <t>フリカエ</t>
    </rPh>
    <phoneticPr fontId="4"/>
  </si>
  <si>
    <t>同居親族控除</t>
    <rPh sb="0" eb="4">
      <t>ドウキョシンゾク</t>
    </rPh>
    <rPh sb="4" eb="6">
      <t>コウジョ</t>
    </rPh>
    <phoneticPr fontId="4"/>
  </si>
  <si>
    <t>歳</t>
    <rPh sb="0" eb="1">
      <t>サイ</t>
    </rPh>
    <phoneticPr fontId="4"/>
  </si>
  <si>
    <t>ひとり親</t>
    <rPh sb="3" eb="4">
      <t>オヤ</t>
    </rPh>
    <phoneticPr fontId="4"/>
  </si>
  <si>
    <t>寡婦</t>
    <rPh sb="0" eb="2">
      <t>カフ</t>
    </rPh>
    <phoneticPr fontId="4"/>
  </si>
  <si>
    <t>ひとり親
控除</t>
    <rPh sb="3" eb="4">
      <t>オヤ</t>
    </rPh>
    <rPh sb="5" eb="7">
      <t>コウジョ</t>
    </rPh>
    <phoneticPr fontId="4"/>
  </si>
  <si>
    <t>寡婦
控除</t>
    <rPh sb="0" eb="2">
      <t>カフ</t>
    </rPh>
    <rPh sb="3" eb="5">
      <t>コウジョ</t>
    </rPh>
    <phoneticPr fontId="4"/>
  </si>
  <si>
    <t>障がい者
控除</t>
    <rPh sb="0" eb="1">
      <t>ショウ</t>
    </rPh>
    <rPh sb="3" eb="4">
      <t>シャ</t>
    </rPh>
    <rPh sb="5" eb="7">
      <t>コウジョ</t>
    </rPh>
    <phoneticPr fontId="4"/>
  </si>
  <si>
    <t>特別障がい
者控除</t>
    <rPh sb="0" eb="2">
      <t>トクベツ</t>
    </rPh>
    <rPh sb="2" eb="3">
      <t>ショウ</t>
    </rPh>
    <rPh sb="6" eb="7">
      <t>シャ</t>
    </rPh>
    <rPh sb="7" eb="9">
      <t>コウジョ</t>
    </rPh>
    <phoneticPr fontId="4"/>
  </si>
  <si>
    <t>円</t>
    <rPh sb="0" eb="1">
      <t>エン</t>
    </rPh>
    <phoneticPr fontId="4"/>
  </si>
  <si>
    <t>人</t>
    <rPh sb="0" eb="1">
      <t>ニン</t>
    </rPh>
    <phoneticPr fontId="4"/>
  </si>
  <si>
    <t>年間の収入等</t>
    <rPh sb="0" eb="2">
      <t>ネンカン</t>
    </rPh>
    <rPh sb="3" eb="5">
      <t>シュウニュウ</t>
    </rPh>
    <rPh sb="5" eb="6">
      <t>トウ</t>
    </rPh>
    <phoneticPr fontId="4"/>
  </si>
  <si>
    <t>別居扶養親族控除</t>
    <rPh sb="0" eb="2">
      <t>ベッキョ</t>
    </rPh>
    <rPh sb="2" eb="4">
      <t>フヨウ</t>
    </rPh>
    <rPh sb="4" eb="6">
      <t>シンゾク</t>
    </rPh>
    <rPh sb="6" eb="8">
      <t>コウジョ</t>
    </rPh>
    <phoneticPr fontId="4"/>
  </si>
  <si>
    <t>老人扶養控除</t>
    <rPh sb="0" eb="2">
      <t>ロウジン</t>
    </rPh>
    <rPh sb="2" eb="4">
      <t>フヨウ</t>
    </rPh>
    <rPh sb="4" eb="6">
      <t>コウジョ</t>
    </rPh>
    <phoneticPr fontId="4"/>
  </si>
  <si>
    <t>扶養親族控除</t>
    <rPh sb="0" eb="4">
      <t>フヨウシンゾク</t>
    </rPh>
    <rPh sb="4" eb="6">
      <t>コウジョ</t>
    </rPh>
    <phoneticPr fontId="4"/>
  </si>
  <si>
    <t>公住令§1③イ</t>
    <rPh sb="0" eb="2">
      <t>コウジュウ</t>
    </rPh>
    <rPh sb="2" eb="3">
      <t>レイ</t>
    </rPh>
    <phoneticPr fontId="3"/>
  </si>
  <si>
    <t>公住令§1③ロ</t>
    <rPh sb="0" eb="2">
      <t>コウジュウ</t>
    </rPh>
    <rPh sb="2" eb="3">
      <t>レイ</t>
    </rPh>
    <phoneticPr fontId="3"/>
  </si>
  <si>
    <t>公住令§1③ハ</t>
    <rPh sb="0" eb="2">
      <t>コウジュウ</t>
    </rPh>
    <rPh sb="2" eb="3">
      <t>レイ</t>
    </rPh>
    <phoneticPr fontId="3"/>
  </si>
  <si>
    <t>公住令§1③ニ</t>
    <rPh sb="0" eb="2">
      <t>コウジュウ</t>
    </rPh>
    <rPh sb="2" eb="3">
      <t>レイ</t>
    </rPh>
    <phoneticPr fontId="3"/>
  </si>
  <si>
    <t>公住令§1③ホ</t>
    <rPh sb="0" eb="2">
      <t>コウジュウ</t>
    </rPh>
    <rPh sb="2" eb="3">
      <t>レイ</t>
    </rPh>
    <phoneticPr fontId="3"/>
  </si>
  <si>
    <t>公住令§1③ホ括弧</t>
    <rPh sb="0" eb="2">
      <t>コウジュウ</t>
    </rPh>
    <rPh sb="2" eb="3">
      <t>レイ</t>
    </rPh>
    <rPh sb="7" eb="9">
      <t>カッコ</t>
    </rPh>
    <phoneticPr fontId="3"/>
  </si>
  <si>
    <t>障がい者控除(別居)</t>
    <rPh sb="0" eb="1">
      <t>ショウ</t>
    </rPh>
    <rPh sb="3" eb="4">
      <t>シャ</t>
    </rPh>
    <rPh sb="4" eb="6">
      <t>コウジョ</t>
    </rPh>
    <rPh sb="7" eb="9">
      <t>ベッキョ</t>
    </rPh>
    <phoneticPr fontId="4"/>
  </si>
  <si>
    <t>特別障がい者控除(別居)</t>
    <rPh sb="0" eb="2">
      <t>トクベツ</t>
    </rPh>
    <rPh sb="2" eb="3">
      <t>ショウ</t>
    </rPh>
    <rPh sb="5" eb="6">
      <t>シャ</t>
    </rPh>
    <rPh sb="6" eb="8">
      <t>コウジョ</t>
    </rPh>
    <phoneticPr fontId="4"/>
  </si>
  <si>
    <t>所法§28</t>
    <phoneticPr fontId="4"/>
  </si>
  <si>
    <t>所法§35</t>
    <phoneticPr fontId="4"/>
  </si>
  <si>
    <t>公住令§1③ヘ</t>
    <phoneticPr fontId="4"/>
  </si>
  <si>
    <t>公住令§1③ト</t>
    <phoneticPr fontId="4"/>
  </si>
  <si>
    <t>所得金額の合計(A)</t>
    <rPh sb="0" eb="4">
      <t>ショトクキンガク</t>
    </rPh>
    <rPh sb="5" eb="7">
      <t>ゴウケイ</t>
    </rPh>
    <phoneticPr fontId="4"/>
  </si>
  <si>
    <t>政令控除額の合計(B)</t>
    <rPh sb="0" eb="2">
      <t>セイレイ</t>
    </rPh>
    <rPh sb="2" eb="5">
      <t>コウジョガク</t>
    </rPh>
    <rPh sb="6" eb="8">
      <t>ゴウケイ</t>
    </rPh>
    <phoneticPr fontId="4"/>
  </si>
  <si>
    <r>
      <t>所得税法上の</t>
    </r>
    <r>
      <rPr>
        <b/>
        <sz val="12"/>
        <color rgb="FFC00000"/>
        <rFont val="Yu Gothic UI"/>
        <family val="3"/>
        <charset val="128"/>
      </rPr>
      <t>控除対象配偶者</t>
    </r>
    <r>
      <rPr>
        <sz val="12"/>
        <color rgb="FFC00000"/>
        <rFont val="Yu Gothic UI"/>
        <family val="3"/>
        <charset val="128"/>
      </rPr>
      <t>または</t>
    </r>
    <r>
      <rPr>
        <b/>
        <sz val="12"/>
        <color rgb="FFC00000"/>
        <rFont val="Yu Gothic UI"/>
        <family val="3"/>
        <charset val="128"/>
      </rPr>
      <t>扶養親族</t>
    </r>
    <r>
      <rPr>
        <sz val="12"/>
        <rFont val="Yu Gothic UI"/>
        <family val="3"/>
        <charset val="128"/>
      </rPr>
      <t>のうち、</t>
    </r>
    <r>
      <rPr>
        <b/>
        <sz val="12"/>
        <color rgb="FFC00000"/>
        <rFont val="Yu Gothic UI"/>
        <family val="3"/>
        <charset val="128"/>
      </rPr>
      <t>70歳以上</t>
    </r>
    <r>
      <rPr>
        <sz val="12"/>
        <rFont val="Yu Gothic UI"/>
        <family val="3"/>
        <charset val="128"/>
      </rPr>
      <t>の人数（</t>
    </r>
    <r>
      <rPr>
        <u/>
        <sz val="12"/>
        <rFont val="Yu Gothic UI"/>
        <family val="3"/>
        <charset val="128"/>
      </rPr>
      <t>同居・別居問わず</t>
    </r>
    <r>
      <rPr>
        <sz val="12"/>
        <rFont val="Yu Gothic UI"/>
        <family val="3"/>
        <charset val="128"/>
      </rPr>
      <t>）</t>
    </r>
    <rPh sb="0" eb="2">
      <t>ショトク</t>
    </rPh>
    <rPh sb="2" eb="5">
      <t>ゼイホウジョウ</t>
    </rPh>
    <rPh sb="6" eb="8">
      <t>コウジョ</t>
    </rPh>
    <rPh sb="8" eb="10">
      <t>タイショウ</t>
    </rPh>
    <rPh sb="10" eb="13">
      <t>ハイグウシャ</t>
    </rPh>
    <rPh sb="16" eb="18">
      <t>フヨウ</t>
    </rPh>
    <rPh sb="18" eb="20">
      <t>シンゾク</t>
    </rPh>
    <rPh sb="26" eb="29">
      <t>サイイジョウ</t>
    </rPh>
    <rPh sb="30" eb="32">
      <t>ニンズウ</t>
    </rPh>
    <rPh sb="33" eb="35">
      <t>ドウキョ</t>
    </rPh>
    <rPh sb="36" eb="38">
      <t>ベッキョ</t>
    </rPh>
    <rPh sb="38" eb="39">
      <t>ト</t>
    </rPh>
    <phoneticPr fontId="4"/>
  </si>
  <si>
    <t>所得額の計算</t>
    <rPh sb="0" eb="2">
      <t>ショトク</t>
    </rPh>
    <rPh sb="2" eb="3">
      <t>ガク</t>
    </rPh>
    <rPh sb="4" eb="6">
      <t>ケイサン</t>
    </rPh>
    <phoneticPr fontId="4"/>
  </si>
  <si>
    <t>子ども・特別障害者等を有する者等</t>
    <rPh sb="0" eb="1">
      <t>コ</t>
    </rPh>
    <rPh sb="4" eb="6">
      <t>トクベツ</t>
    </rPh>
    <rPh sb="6" eb="9">
      <t>ショウガイシャ</t>
    </rPh>
    <rPh sb="9" eb="10">
      <t>トウ</t>
    </rPh>
    <rPh sb="11" eb="12">
      <t>ユウ</t>
    </rPh>
    <rPh sb="14" eb="15">
      <t>モノ</t>
    </rPh>
    <rPh sb="15" eb="16">
      <t>トウ</t>
    </rPh>
    <phoneticPr fontId="4"/>
  </si>
  <si>
    <t>給与所得と年金所得の双方を有する者</t>
    <rPh sb="0" eb="2">
      <t>キュウヨ</t>
    </rPh>
    <rPh sb="2" eb="4">
      <t>ショトク</t>
    </rPh>
    <rPh sb="5" eb="7">
      <t>ネンキン</t>
    </rPh>
    <rPh sb="7" eb="9">
      <t>ショトク</t>
    </rPh>
    <rPh sb="10" eb="12">
      <t>ソウホウ</t>
    </rPh>
    <rPh sb="13" eb="14">
      <t>ユウ</t>
    </rPh>
    <rPh sb="16" eb="17">
      <t>モノ</t>
    </rPh>
    <phoneticPr fontId="4"/>
  </si>
  <si>
    <t>所得金額調整控除</t>
    <rPh sb="0" eb="4">
      <t>ショトクキンガク</t>
    </rPh>
    <rPh sb="4" eb="8">
      <t>チョウセイコウジョ</t>
    </rPh>
    <phoneticPr fontId="4"/>
  </si>
  <si>
    <t>公営住宅法施行令における控除（政令控除額）</t>
    <rPh sb="0" eb="2">
      <t>コウエイ</t>
    </rPh>
    <rPh sb="2" eb="4">
      <t>ジュウタク</t>
    </rPh>
    <rPh sb="4" eb="5">
      <t>ホウ</t>
    </rPh>
    <rPh sb="5" eb="8">
      <t>セコウレイ</t>
    </rPh>
    <rPh sb="12" eb="14">
      <t>コウジョ</t>
    </rPh>
    <rPh sb="15" eb="17">
      <t>セイレイ</t>
    </rPh>
    <rPh sb="17" eb="20">
      <t>コウジョガク</t>
    </rPh>
    <phoneticPr fontId="4"/>
  </si>
  <si>
    <t>措法§41の3の11①</t>
    <rPh sb="0" eb="2">
      <t>ソホウ</t>
    </rPh>
    <phoneticPr fontId="4"/>
  </si>
  <si>
    <t>措法§41の3の11②</t>
    <rPh sb="0" eb="2">
      <t>ソホウ</t>
    </rPh>
    <phoneticPr fontId="4"/>
  </si>
  <si>
    <t>政令月収((A-B)/12)</t>
    <rPh sb="0" eb="2">
      <t>セイレイ</t>
    </rPh>
    <rPh sb="2" eb="4">
      <t>ゲッシュウ</t>
    </rPh>
    <phoneticPr fontId="4"/>
  </si>
  <si>
    <t>障害者</t>
    <rPh sb="0" eb="3">
      <t>ショウガイシャ</t>
    </rPh>
    <phoneticPr fontId="3"/>
  </si>
  <si>
    <t>高齢世帯</t>
    <rPh sb="0" eb="4">
      <t>コウレイセタイ</t>
    </rPh>
    <phoneticPr fontId="3"/>
  </si>
  <si>
    <t>未就学児</t>
    <rPh sb="0" eb="4">
      <t>ミシュウガクジ</t>
    </rPh>
    <phoneticPr fontId="3"/>
  </si>
  <si>
    <t>災害公営特例</t>
    <rPh sb="0" eb="2">
      <t>サイガイ</t>
    </rPh>
    <rPh sb="2" eb="4">
      <t>コウエイ</t>
    </rPh>
    <rPh sb="4" eb="6">
      <t>トクレイ</t>
    </rPh>
    <phoneticPr fontId="3"/>
  </si>
  <si>
    <t>障害の有無</t>
    <rPh sb="0" eb="2">
      <t>ショウガイ</t>
    </rPh>
    <rPh sb="3" eb="5">
      <t>ウム</t>
    </rPh>
    <phoneticPr fontId="4"/>
  </si>
  <si>
    <t>知的障害</t>
    <rPh sb="0" eb="4">
      <t>チテキショウガイ</t>
    </rPh>
    <phoneticPr fontId="4"/>
  </si>
  <si>
    <t>精神障害</t>
    <rPh sb="0" eb="4">
      <t>セイシンショウガイ</t>
    </rPh>
    <phoneticPr fontId="4"/>
  </si>
  <si>
    <t>身体障害</t>
    <rPh sb="0" eb="2">
      <t>シンタイ</t>
    </rPh>
    <rPh sb="2" eb="4">
      <t>ショウガイ</t>
    </rPh>
    <phoneticPr fontId="4"/>
  </si>
  <si>
    <t>裁量階層</t>
    <rPh sb="0" eb="4">
      <t>サイリョウカイソウ</t>
    </rPh>
    <phoneticPr fontId="4"/>
  </si>
  <si>
    <t>障害者</t>
    <rPh sb="0" eb="3">
      <t>ショウガイシャ</t>
    </rPh>
    <phoneticPr fontId="4"/>
  </si>
  <si>
    <t>裁量階層</t>
    <rPh sb="0" eb="4">
      <t>サイリョウカイソウ</t>
    </rPh>
    <phoneticPr fontId="4"/>
  </si>
  <si>
    <t>2LDK</t>
    <phoneticPr fontId="4"/>
  </si>
  <si>
    <t>3LDK</t>
    <phoneticPr fontId="4"/>
  </si>
  <si>
    <t>間取り</t>
    <rPh sb="0" eb="2">
      <t>マド</t>
    </rPh>
    <phoneticPr fontId="4"/>
  </si>
  <si>
    <t>整備戸数の目安</t>
    <rPh sb="0" eb="4">
      <t>セイビコスウ</t>
    </rPh>
    <rPh sb="5" eb="7">
      <t>メヤス</t>
    </rPh>
    <phoneticPr fontId="4"/>
  </si>
  <si>
    <t>家賃　＝　家賃算定基礎額　×　市町村立地係数　×　規模係数　×　経過年数係数　×　利便性係数</t>
    <rPh sb="0" eb="2">
      <t>ヤチン</t>
    </rPh>
    <rPh sb="5" eb="12">
      <t>ヤチンサンテイキソガク</t>
    </rPh>
    <rPh sb="15" eb="22">
      <t>シチョウソンリッチケイスウ</t>
    </rPh>
    <rPh sb="25" eb="29">
      <t>キボケイスウ</t>
    </rPh>
    <rPh sb="32" eb="36">
      <t>ケイカネンスウ</t>
    </rPh>
    <rPh sb="36" eb="38">
      <t>ケイスウ</t>
    </rPh>
    <rPh sb="41" eb="44">
      <t>リベンセイ</t>
    </rPh>
    <rPh sb="44" eb="46">
      <t>ケイスウ</t>
    </rPh>
    <phoneticPr fontId="4"/>
  </si>
  <si>
    <t>利便性係数</t>
    <rPh sb="0" eb="5">
      <t>リベンセイケイスウ</t>
    </rPh>
    <phoneticPr fontId="4"/>
  </si>
  <si>
    <t>家賃算定基礎額</t>
    <phoneticPr fontId="4"/>
  </si>
  <si>
    <t>政令月収下限</t>
    <rPh sb="0" eb="4">
      <t>セイレイゲッシュウ</t>
    </rPh>
    <rPh sb="4" eb="6">
      <t>カゲン</t>
    </rPh>
    <phoneticPr fontId="4"/>
  </si>
  <si>
    <t>政令月収上限</t>
    <rPh sb="4" eb="6">
      <t>ジョウゲン</t>
    </rPh>
    <phoneticPr fontId="4"/>
  </si>
  <si>
    <t>該当</t>
    <rPh sb="0" eb="2">
      <t>ガイトウ</t>
    </rPh>
    <phoneticPr fontId="4"/>
  </si>
  <si>
    <t>分位</t>
    <rPh sb="0" eb="2">
      <t>ブンイ</t>
    </rPh>
    <phoneticPr fontId="4"/>
  </si>
  <si>
    <t>第1分位</t>
    <rPh sb="0" eb="1">
      <t>ダイ</t>
    </rPh>
    <rPh sb="2" eb="4">
      <t>ブンイ</t>
    </rPh>
    <phoneticPr fontId="4"/>
  </si>
  <si>
    <t>第2分位</t>
    <rPh sb="0" eb="1">
      <t>ダイ</t>
    </rPh>
    <rPh sb="2" eb="4">
      <t>ブンイ</t>
    </rPh>
    <phoneticPr fontId="4"/>
  </si>
  <si>
    <t>第3分位</t>
    <rPh sb="0" eb="1">
      <t>ダイ</t>
    </rPh>
    <rPh sb="2" eb="4">
      <t>ブンイ</t>
    </rPh>
    <phoneticPr fontId="4"/>
  </si>
  <si>
    <t>第4分位</t>
    <rPh sb="0" eb="1">
      <t>ダイ</t>
    </rPh>
    <rPh sb="2" eb="4">
      <t>ブンイ</t>
    </rPh>
    <phoneticPr fontId="4"/>
  </si>
  <si>
    <t>第5分位</t>
    <rPh sb="0" eb="1">
      <t>ダイ</t>
    </rPh>
    <rPh sb="2" eb="4">
      <t>ブンイ</t>
    </rPh>
    <phoneticPr fontId="4"/>
  </si>
  <si>
    <t>第6分位</t>
    <rPh sb="0" eb="1">
      <t>ダイ</t>
    </rPh>
    <rPh sb="2" eb="4">
      <t>ブンイ</t>
    </rPh>
    <phoneticPr fontId="4"/>
  </si>
  <si>
    <t>第7分位</t>
    <rPh sb="0" eb="1">
      <t>ダイ</t>
    </rPh>
    <rPh sb="2" eb="4">
      <t>ブンイ</t>
    </rPh>
    <phoneticPr fontId="4"/>
  </si>
  <si>
    <t>第8分位</t>
    <rPh sb="0" eb="1">
      <t>ダイ</t>
    </rPh>
    <rPh sb="2" eb="4">
      <t>ブンイ</t>
    </rPh>
    <phoneticPr fontId="4"/>
  </si>
  <si>
    <t>家賃算定基礎額</t>
    <rPh sb="0" eb="7">
      <t>ヤチンサンテイキソガク</t>
    </rPh>
    <phoneticPr fontId="4"/>
  </si>
  <si>
    <t>区分</t>
  </si>
  <si>
    <t>区分</t>
    <rPh sb="0" eb="2">
      <t>クブン</t>
    </rPh>
    <phoneticPr fontId="4"/>
  </si>
  <si>
    <t>一般入居</t>
    <rPh sb="0" eb="2">
      <t>イッパン</t>
    </rPh>
    <rPh sb="2" eb="4">
      <t>ニュウキョ</t>
    </rPh>
    <phoneticPr fontId="4"/>
  </si>
  <si>
    <t>収入超過者</t>
    <rPh sb="0" eb="2">
      <t>シュウニュウ</t>
    </rPh>
    <rPh sb="2" eb="4">
      <t>チョウカ</t>
    </rPh>
    <rPh sb="4" eb="5">
      <t>シャ</t>
    </rPh>
    <phoneticPr fontId="4"/>
  </si>
  <si>
    <t>高額所得者</t>
    <rPh sb="0" eb="2">
      <t>コウガク</t>
    </rPh>
    <rPh sb="2" eb="5">
      <t>ショトクシャ</t>
    </rPh>
    <phoneticPr fontId="4"/>
  </si>
  <si>
    <t>（非表示）自動計算シート</t>
    <rPh sb="1" eb="4">
      <t>ヒヒョウジ</t>
    </rPh>
    <rPh sb="5" eb="7">
      <t>ジドウ</t>
    </rPh>
    <rPh sb="7" eb="9">
      <t>ケイサン</t>
    </rPh>
    <phoneticPr fontId="4"/>
  </si>
  <si>
    <t>ひとり親等の該当状況(※1)</t>
    <rPh sb="3" eb="4">
      <t>オヤ</t>
    </rPh>
    <rPh sb="4" eb="5">
      <t>トウ</t>
    </rPh>
    <rPh sb="6" eb="8">
      <t>ガイトウ</t>
    </rPh>
    <rPh sb="8" eb="10">
      <t>ジョウキョウ</t>
    </rPh>
    <phoneticPr fontId="4"/>
  </si>
  <si>
    <t>【注意事項】　このツールは家賃の金額の目安を把握するために、簡易なシミュレーションツールとして作成したものです。</t>
    <rPh sb="1" eb="3">
      <t>チュウイ</t>
    </rPh>
    <rPh sb="3" eb="5">
      <t>ジコウ</t>
    </rPh>
    <rPh sb="13" eb="15">
      <t>ヤチン</t>
    </rPh>
    <rPh sb="19" eb="21">
      <t>メヤス</t>
    </rPh>
    <rPh sb="47" eb="49">
      <t>サクセイ</t>
    </rPh>
    <phoneticPr fontId="4"/>
  </si>
  <si>
    <t>★ 裁量階層の判定</t>
    <rPh sb="2" eb="6">
      <t>サイリョウカイソウ</t>
    </rPh>
    <rPh sb="7" eb="9">
      <t>ハンテイ</t>
    </rPh>
    <phoneticPr fontId="4"/>
  </si>
  <si>
    <t>黄色背景のセル</t>
    <rPh sb="0" eb="2">
      <t>キイロ</t>
    </rPh>
    <rPh sb="2" eb="4">
      <t>ハイケイ</t>
    </rPh>
    <phoneticPr fontId="4"/>
  </si>
  <si>
    <t>では、回答をプルダウンメニューから選択してください。</t>
    <rPh sb="3" eb="5">
      <t>カイトウ</t>
    </rPh>
    <rPh sb="17" eb="19">
      <t>センタク</t>
    </rPh>
    <phoneticPr fontId="4"/>
  </si>
  <si>
    <t>には、数値を入力してください。</t>
    <rPh sb="3" eb="5">
      <t>スウチ</t>
    </rPh>
    <rPh sb="6" eb="8">
      <t>ニュウリョク</t>
    </rPh>
    <phoneticPr fontId="4"/>
  </si>
  <si>
    <t>水色背景のセル</t>
    <rPh sb="0" eb="1">
      <t>ミズ</t>
    </rPh>
    <rPh sb="1" eb="2">
      <t>イロ</t>
    </rPh>
    <rPh sb="2" eb="4">
      <t>ハイケイ</t>
    </rPh>
    <phoneticPr fontId="4"/>
  </si>
  <si>
    <t>① 入居者・同居者に関する情報の入力（個人）</t>
    <rPh sb="2" eb="4">
      <t>ニュウキョ</t>
    </rPh>
    <rPh sb="4" eb="5">
      <t>シャ</t>
    </rPh>
    <rPh sb="6" eb="9">
      <t>ドウキョシャ</t>
    </rPh>
    <rPh sb="10" eb="11">
      <t>カン</t>
    </rPh>
    <rPh sb="13" eb="15">
      <t>ジョウホウ</t>
    </rPh>
    <rPh sb="16" eb="18">
      <t>ニュウリョク</t>
    </rPh>
    <rPh sb="19" eb="21">
      <t>コジン</t>
    </rPh>
    <phoneticPr fontId="4"/>
  </si>
  <si>
    <t>② 入居者・同居者に関する情報の入力（世帯）</t>
    <rPh sb="2" eb="4">
      <t>ニュウキョ</t>
    </rPh>
    <rPh sb="4" eb="5">
      <t>シャ</t>
    </rPh>
    <rPh sb="6" eb="9">
      <t>ドウキョシャ</t>
    </rPh>
    <rPh sb="10" eb="11">
      <t>カン</t>
    </rPh>
    <rPh sb="13" eb="15">
      <t>ジョウホウ</t>
    </rPh>
    <rPh sb="16" eb="18">
      <t>ニュウリョク</t>
    </rPh>
    <rPh sb="19" eb="21">
      <t>セタイ</t>
    </rPh>
    <phoneticPr fontId="4"/>
  </si>
  <si>
    <t>で、回答をプルダウンメニューから選択してください。</t>
    <rPh sb="2" eb="4">
      <t>カイトウ</t>
    </rPh>
    <rPh sb="16" eb="18">
      <t>センタク</t>
    </rPh>
    <phoneticPr fontId="4"/>
  </si>
  <si>
    <t>③ 世帯に関する情報の入力</t>
    <rPh sb="2" eb="4">
      <t>セタイ</t>
    </rPh>
    <rPh sb="5" eb="6">
      <t>カン</t>
    </rPh>
    <rPh sb="8" eb="10">
      <t>ジョウホウ</t>
    </rPh>
    <rPh sb="11" eb="13">
      <t>ニュウリョク</t>
    </rPh>
    <phoneticPr fontId="4"/>
  </si>
  <si>
    <t>に、数値を入力してください。</t>
    <rPh sb="2" eb="4">
      <t>スウチ</t>
    </rPh>
    <rPh sb="5" eb="7">
      <t>ニュウリョク</t>
    </rPh>
    <phoneticPr fontId="4"/>
  </si>
  <si>
    <t>④ 希望する住戸タイプの入力</t>
    <rPh sb="2" eb="4">
      <t>キボウ</t>
    </rPh>
    <rPh sb="6" eb="8">
      <t>ジュウコ</t>
    </rPh>
    <rPh sb="12" eb="14">
      <t>ニュウリョク</t>
    </rPh>
    <phoneticPr fontId="4"/>
  </si>
  <si>
    <t>非該当</t>
    <rPh sb="0" eb="3">
      <t>ヒガイトウ</t>
    </rPh>
    <phoneticPr fontId="4"/>
  </si>
  <si>
    <t>①～④に必要な情報を入力いただくと、★に家賃の試算結果が表示されます。</t>
    <rPh sb="4" eb="6">
      <t>ヒツヨウ</t>
    </rPh>
    <rPh sb="7" eb="9">
      <t>ジョウホウ</t>
    </rPh>
    <rPh sb="10" eb="12">
      <t>ニュウリョク</t>
    </rPh>
    <rPh sb="20" eb="22">
      <t>ヤチン</t>
    </rPh>
    <rPh sb="23" eb="27">
      <t>シサンケッカ</t>
    </rPh>
    <rPh sb="28" eb="30">
      <t>ヒョウジ</t>
    </rPh>
    <phoneticPr fontId="4"/>
  </si>
  <si>
    <t>政令８条２項の率</t>
    <rPh sb="0" eb="2">
      <t>セイレイ</t>
    </rPh>
    <rPh sb="3" eb="4">
      <t>ジョウ</t>
    </rPh>
    <rPh sb="5" eb="6">
      <t>コウ</t>
    </rPh>
    <rPh sb="7" eb="8">
      <t>リツ</t>
    </rPh>
    <phoneticPr fontId="4"/>
  </si>
  <si>
    <t>参照用の数字</t>
    <rPh sb="0" eb="3">
      <t>サンショウヨウ</t>
    </rPh>
    <rPh sb="4" eb="6">
      <t>スウジ</t>
    </rPh>
    <phoneticPr fontId="4"/>
  </si>
  <si>
    <t>★ 家賃（月額）の試算結果</t>
    <rPh sb="2" eb="4">
      <t>ヤチン</t>
    </rPh>
    <rPh sb="5" eb="7">
      <t>ゲツガク</t>
    </rPh>
    <rPh sb="9" eb="11">
      <t>シサン</t>
    </rPh>
    <rPh sb="11" eb="13">
      <t>ケッカ</t>
    </rPh>
    <phoneticPr fontId="4"/>
  </si>
  <si>
    <t>家賃（月額）</t>
    <rPh sb="0" eb="2">
      <t>ヤチン</t>
    </rPh>
    <rPh sb="3" eb="5">
      <t>ゲツガク</t>
    </rPh>
    <phoneticPr fontId="4"/>
  </si>
  <si>
    <t>↓</t>
    <phoneticPr fontId="4"/>
  </si>
  <si>
    <t>　　（その者の給与所得等の金額の合計額が十万円未満である場合には、当該合計額）</t>
  </si>
  <si>
    <t>　　（その者が同項第二十九号に規定する特別障害者である場合には、四十万円）</t>
  </si>
  <si>
    <t>　　（その者の所得金額からイの規定により控除する金額を控除した残額が三十五万円未満である場合には、当該残額）</t>
    <phoneticPr fontId="4"/>
  </si>
  <si>
    <t>　　（その者の所得金額からイの規定により控除する金額を控除した残額が二十七万円未満である場合には、当該残額）</t>
    <phoneticPr fontId="4"/>
  </si>
  <si>
    <r>
      <t>ロ</t>
    </r>
    <r>
      <rPr>
        <sz val="9"/>
        <color rgb="FF000000"/>
        <rFont val="BIZ UDゴシック"/>
        <family val="3"/>
        <charset val="128"/>
      </rPr>
      <t>　同居者 又は 同一生計配偶者若しくは扶養親族で入居者及び同居者以外のもの</t>
    </r>
    <r>
      <rPr>
        <b/>
        <sz val="9"/>
        <color rgb="FFC00000"/>
        <rFont val="BIZ UDゴシック"/>
        <family val="3"/>
        <charset val="128"/>
      </rPr>
      <t>　一人につき三十八万円</t>
    </r>
    <phoneticPr fontId="4"/>
  </si>
  <si>
    <r>
      <t>イ</t>
    </r>
    <r>
      <rPr>
        <sz val="9"/>
        <color rgb="FF000000"/>
        <rFont val="BIZ UDゴシック"/>
        <family val="3"/>
        <charset val="128"/>
      </rPr>
      <t>　入居者又は同居者で 給与所得又は公的年金等に係る雑所得を有する者</t>
    </r>
    <r>
      <rPr>
        <b/>
        <sz val="9"/>
        <color rgb="FFC00000"/>
        <rFont val="BIZ UDゴシック"/>
        <family val="3"/>
        <charset val="128"/>
      </rPr>
      <t>　一人につき十万円</t>
    </r>
    <phoneticPr fontId="4"/>
  </si>
  <si>
    <r>
      <t>ハ　</t>
    </r>
    <r>
      <rPr>
        <sz val="9"/>
        <color rgb="FF000000"/>
        <rFont val="BIZ UDゴシック"/>
        <family val="3"/>
        <charset val="128"/>
      </rPr>
      <t>同一生計配偶者が七十歳以上の者である場合 又は 扶養親族が老人扶養親族である場合</t>
    </r>
    <r>
      <rPr>
        <b/>
        <sz val="9"/>
        <color rgb="FFC00000"/>
        <rFont val="BIZ UDゴシック"/>
        <family val="3"/>
        <charset val="128"/>
      </rPr>
      <t>　その同一生計配偶者又は老人扶養親族一人につき十万円</t>
    </r>
    <phoneticPr fontId="4"/>
  </si>
  <si>
    <r>
      <t>ニ　扶養親族が十六歳以上二十三歳未満の者である場合</t>
    </r>
    <r>
      <rPr>
        <b/>
        <sz val="9"/>
        <color rgb="FFC00000"/>
        <rFont val="BIZ UDゴシック"/>
        <family val="3"/>
        <charset val="128"/>
      </rPr>
      <t>　その扶養親族一人につき二十五万円</t>
    </r>
    <phoneticPr fontId="4"/>
  </si>
  <si>
    <r>
      <t>ホ　</t>
    </r>
    <r>
      <rPr>
        <sz val="9"/>
        <color rgb="FF000000"/>
        <rFont val="BIZ UDゴシック"/>
        <family val="3"/>
        <charset val="128"/>
      </rPr>
      <t>入居者、同居者、同一生計配偶者又は扶養家族に障害者がある場合</t>
    </r>
    <r>
      <rPr>
        <b/>
        <sz val="9"/>
        <color rgb="FFC00000"/>
        <rFont val="BIZ UDゴシック"/>
        <family val="3"/>
        <charset val="128"/>
      </rPr>
      <t>　その障害者一人につき二十七万円</t>
    </r>
    <phoneticPr fontId="4"/>
  </si>
  <si>
    <r>
      <t>ヘ　</t>
    </r>
    <r>
      <rPr>
        <sz val="9"/>
        <color rgb="FF000000"/>
        <rFont val="BIZ UDゴシック"/>
        <family val="3"/>
        <charset val="128"/>
      </rPr>
      <t>入居者又は同居者に寡婦がある場合</t>
    </r>
    <r>
      <rPr>
        <b/>
        <sz val="9"/>
        <color rgb="FFC00000"/>
        <rFont val="BIZ UDゴシック"/>
        <family val="3"/>
        <charset val="128"/>
      </rPr>
      <t>　その寡婦一人につき二十七万円</t>
    </r>
    <phoneticPr fontId="4"/>
  </si>
  <si>
    <r>
      <t>ト　</t>
    </r>
    <r>
      <rPr>
        <sz val="9"/>
        <color rgb="FF000000"/>
        <rFont val="BIZ UDゴシック"/>
        <family val="3"/>
        <charset val="128"/>
      </rPr>
      <t>入居者又は同居者にひとり親がある場合</t>
    </r>
    <r>
      <rPr>
        <b/>
        <sz val="9"/>
        <color rgb="FFC00000"/>
        <rFont val="BIZ UDゴシック"/>
        <family val="3"/>
        <charset val="128"/>
      </rPr>
      <t>　そのひとり親一人につき三十五万円</t>
    </r>
    <phoneticPr fontId="4"/>
  </si>
  <si>
    <t>１　その年中の給与等の収入金額が八百五十万円を超える居住者で、特別障害者に該当するもの又は年齢二十三歳未満の扶養親族を有するもの若しくは特別障害者である同一生計配偶者若しくは扶養親族を有するものに係る総所得金額を計算する場合には、その年中の給与等の収入金額（当該給与等の収入金額が千万円を超える場合には、千万円）から八百五十万円を控除した金額の百分の十に相当する金額を、その年分の給与所得の金額から控除する。
２　その年分の給与所得控除後の給与等の金額及び公的年金等に係る雑所得の金額がある居住者で、当該給与所得控除後の給与等の金額及び当該公的年金等に係る雑所得の金額の合計額が十万円を超えるものに係る総所得金額を計算する場合には、当該給与所得控除後の給与等の金額（当該給与所得控除後の給与等の金額が十万円を超える場合には、十万円）及び当該公的年金等に係る雑所得の金額（当該公的年金等に係る雑所得の金額が十万円を超える場合には、十万円）の合計額から十万円を控除した残額を、その年分の給与所得の金額（前項の規定の適用がある場合には、同項の規定による控除をした残額）から控除する。</t>
    <phoneticPr fontId="4"/>
  </si>
  <si>
    <t>※入居後は、上記の家賃の他に、水道光熱費、共益費、駐車場使用料などの支払いが必要です。</t>
    <rPh sb="6" eb="8">
      <t>ジョウキ</t>
    </rPh>
    <rPh sb="9" eb="11">
      <t>ヤチン</t>
    </rPh>
    <phoneticPr fontId="4"/>
  </si>
  <si>
    <r>
      <rPr>
        <b/>
        <u/>
        <sz val="12"/>
        <color rgb="FFC00000"/>
        <rFont val="Yu Gothic UI"/>
        <family val="3"/>
        <charset val="128"/>
      </rPr>
      <t>別居する</t>
    </r>
    <r>
      <rPr>
        <sz val="12"/>
        <rFont val="Yu Gothic UI"/>
        <family val="3"/>
        <charset val="128"/>
      </rPr>
      <t>所得税法上の</t>
    </r>
    <r>
      <rPr>
        <b/>
        <sz val="12"/>
        <color rgb="FFC00000"/>
        <rFont val="Yu Gothic UI"/>
        <family val="3"/>
        <charset val="128"/>
      </rPr>
      <t>扶養親族</t>
    </r>
    <r>
      <rPr>
        <sz val="12"/>
        <rFont val="Yu Gothic UI"/>
        <family val="3"/>
        <charset val="128"/>
      </rPr>
      <t>のうち、</t>
    </r>
    <r>
      <rPr>
        <b/>
        <sz val="12"/>
        <color rgb="FFC00000"/>
        <rFont val="Yu Gothic UI"/>
        <family val="3"/>
        <charset val="128"/>
      </rPr>
      <t>障がい者（特別障がい者を除く）</t>
    </r>
    <r>
      <rPr>
        <sz val="12"/>
        <rFont val="Yu Gothic UI"/>
        <family val="3"/>
        <charset val="128"/>
      </rPr>
      <t>の人数（</t>
    </r>
    <r>
      <rPr>
        <u/>
        <sz val="12"/>
        <rFont val="Yu Gothic UI"/>
        <family val="3"/>
        <charset val="128"/>
      </rPr>
      <t>同居者は</t>
    </r>
    <r>
      <rPr>
        <b/>
        <u val="double"/>
        <sz val="12"/>
        <rFont val="Yu Gothic UI"/>
        <family val="3"/>
        <charset val="128"/>
      </rPr>
      <t>除く</t>
    </r>
    <r>
      <rPr>
        <sz val="12"/>
        <rFont val="Yu Gothic UI"/>
        <family val="3"/>
        <charset val="128"/>
      </rPr>
      <t>）</t>
    </r>
    <rPh sb="34" eb="36">
      <t>ニンズウ</t>
    </rPh>
    <phoneticPr fontId="4"/>
  </si>
  <si>
    <r>
      <rPr>
        <b/>
        <u/>
        <sz val="12"/>
        <color rgb="FFC00000"/>
        <rFont val="Yu Gothic UI"/>
        <family val="3"/>
        <charset val="128"/>
      </rPr>
      <t>別居する</t>
    </r>
    <r>
      <rPr>
        <sz val="12"/>
        <rFont val="Yu Gothic UI"/>
        <family val="3"/>
        <charset val="128"/>
      </rPr>
      <t>所得税法上の</t>
    </r>
    <r>
      <rPr>
        <b/>
        <sz val="12"/>
        <color rgb="FFC00000"/>
        <rFont val="Yu Gothic UI"/>
        <family val="3"/>
        <charset val="128"/>
      </rPr>
      <t>扶養親族</t>
    </r>
    <r>
      <rPr>
        <sz val="12"/>
        <rFont val="Yu Gothic UI"/>
        <family val="3"/>
        <charset val="128"/>
      </rPr>
      <t>の人数（</t>
    </r>
    <r>
      <rPr>
        <u/>
        <sz val="12"/>
        <rFont val="Yu Gothic UI"/>
        <family val="3"/>
        <charset val="128"/>
      </rPr>
      <t>同居者は</t>
    </r>
    <r>
      <rPr>
        <b/>
        <u val="double"/>
        <sz val="12"/>
        <rFont val="Yu Gothic UI"/>
        <family val="3"/>
        <charset val="128"/>
      </rPr>
      <t>除く</t>
    </r>
    <r>
      <rPr>
        <sz val="12"/>
        <rFont val="Yu Gothic UI"/>
        <family val="3"/>
        <charset val="128"/>
      </rPr>
      <t>）</t>
    </r>
    <rPh sb="0" eb="2">
      <t>ベッキョ</t>
    </rPh>
    <rPh sb="4" eb="6">
      <t>ショトク</t>
    </rPh>
    <rPh sb="6" eb="9">
      <t>ゼイホウジョウ</t>
    </rPh>
    <rPh sb="10" eb="12">
      <t>フヨウ</t>
    </rPh>
    <rPh sb="12" eb="14">
      <t>シンゾク</t>
    </rPh>
    <rPh sb="15" eb="17">
      <t>ニンズウ</t>
    </rPh>
    <rPh sb="18" eb="20">
      <t>ドウキョ</t>
    </rPh>
    <rPh sb="20" eb="21">
      <t>シャ</t>
    </rPh>
    <rPh sb="22" eb="23">
      <t>ノゾ</t>
    </rPh>
    <phoneticPr fontId="4"/>
  </si>
  <si>
    <r>
      <rPr>
        <b/>
        <u/>
        <sz val="12"/>
        <color rgb="FFC00000"/>
        <rFont val="Yu Gothic UI"/>
        <family val="3"/>
        <charset val="128"/>
      </rPr>
      <t>別居する</t>
    </r>
    <r>
      <rPr>
        <sz val="12"/>
        <rFont val="Yu Gothic UI"/>
        <family val="3"/>
        <charset val="128"/>
      </rPr>
      <t>所得税法上の</t>
    </r>
    <r>
      <rPr>
        <b/>
        <sz val="12"/>
        <color rgb="FFC00000"/>
        <rFont val="Yu Gothic UI"/>
        <family val="3"/>
        <charset val="128"/>
      </rPr>
      <t>扶養親族</t>
    </r>
    <r>
      <rPr>
        <sz val="12"/>
        <rFont val="Yu Gothic UI"/>
        <family val="3"/>
        <charset val="128"/>
      </rPr>
      <t>のうち、</t>
    </r>
    <r>
      <rPr>
        <b/>
        <sz val="12"/>
        <color rgb="FFC00000"/>
        <rFont val="Yu Gothic UI"/>
        <family val="3"/>
        <charset val="128"/>
      </rPr>
      <t>特別障がい者</t>
    </r>
    <r>
      <rPr>
        <sz val="12"/>
        <rFont val="Yu Gothic UI"/>
        <family val="3"/>
        <charset val="128"/>
      </rPr>
      <t>の人数（</t>
    </r>
    <r>
      <rPr>
        <u/>
        <sz val="12"/>
        <rFont val="Yu Gothic UI"/>
        <family val="3"/>
        <charset val="128"/>
      </rPr>
      <t>同居者は</t>
    </r>
    <r>
      <rPr>
        <b/>
        <u val="double"/>
        <sz val="12"/>
        <rFont val="Yu Gothic UI"/>
        <family val="3"/>
        <charset val="128"/>
      </rPr>
      <t>除く</t>
    </r>
    <r>
      <rPr>
        <sz val="12"/>
        <rFont val="Yu Gothic UI"/>
        <family val="3"/>
        <charset val="128"/>
      </rPr>
      <t>）</t>
    </r>
    <rPh sb="18" eb="20">
      <t>トクベツ</t>
    </rPh>
    <phoneticPr fontId="4"/>
  </si>
  <si>
    <t>※入居する住宅の建物構造により、家賃の額が変動する可能性があります。</t>
    <rPh sb="1" eb="3">
      <t>ニュウキョ</t>
    </rPh>
    <rPh sb="5" eb="7">
      <t>ジュウタク</t>
    </rPh>
    <rPh sb="8" eb="12">
      <t>タテモノコウゾウ</t>
    </rPh>
    <rPh sb="16" eb="18">
      <t>ヤチン</t>
    </rPh>
    <rPh sb="19" eb="20">
      <t>ガク</t>
    </rPh>
    <rPh sb="21" eb="23">
      <t>ヘンドウ</t>
    </rPh>
    <rPh sb="25" eb="28">
      <t>カノウセイ</t>
    </rPh>
    <phoneticPr fontId="4"/>
  </si>
  <si>
    <r>
      <t>所得税法上の</t>
    </r>
    <r>
      <rPr>
        <b/>
        <sz val="12"/>
        <color rgb="FFC00000"/>
        <rFont val="Yu Gothic UI"/>
        <family val="3"/>
        <charset val="128"/>
      </rPr>
      <t>扶養親族</t>
    </r>
    <r>
      <rPr>
        <sz val="12"/>
        <rFont val="Yu Gothic UI"/>
        <family val="3"/>
        <charset val="128"/>
      </rPr>
      <t>のうち、</t>
    </r>
    <r>
      <rPr>
        <b/>
        <sz val="12"/>
        <color rgb="FFC00000"/>
        <rFont val="Yu Gothic UI"/>
        <family val="3"/>
        <charset val="128"/>
      </rPr>
      <t>16～22歳</t>
    </r>
    <r>
      <rPr>
        <sz val="12"/>
        <rFont val="Yu Gothic UI"/>
        <family val="3"/>
        <charset val="128"/>
      </rPr>
      <t>の人数（</t>
    </r>
    <r>
      <rPr>
        <u/>
        <sz val="12"/>
        <rFont val="Yu Gothic UI"/>
        <family val="3"/>
        <charset val="128"/>
      </rPr>
      <t>同居・別居問わず</t>
    </r>
    <r>
      <rPr>
        <sz val="12"/>
        <rFont val="Yu Gothic UI"/>
        <family val="3"/>
        <charset val="128"/>
      </rPr>
      <t>）</t>
    </r>
    <phoneticPr fontId="4"/>
  </si>
  <si>
    <r>
      <t>所得税法上の</t>
    </r>
    <r>
      <rPr>
        <b/>
        <sz val="12"/>
        <color rgb="FFC00000"/>
        <rFont val="Yu Gothic UI"/>
        <family val="3"/>
        <charset val="128"/>
      </rPr>
      <t>扶養親族</t>
    </r>
    <r>
      <rPr>
        <sz val="12"/>
        <rFont val="Yu Gothic UI"/>
        <family val="3"/>
        <charset val="128"/>
      </rPr>
      <t>のうち、</t>
    </r>
    <r>
      <rPr>
        <b/>
        <sz val="12"/>
        <color rgb="FFC00000"/>
        <rFont val="Yu Gothic UI"/>
        <family val="3"/>
        <charset val="128"/>
      </rPr>
      <t>0～15歳</t>
    </r>
    <r>
      <rPr>
        <sz val="12"/>
        <rFont val="Yu Gothic UI"/>
        <family val="3"/>
        <charset val="128"/>
      </rPr>
      <t>の人数（</t>
    </r>
    <r>
      <rPr>
        <u/>
        <sz val="12"/>
        <rFont val="Yu Gothic UI"/>
        <family val="3"/>
        <charset val="128"/>
      </rPr>
      <t>同居・別居問わず</t>
    </r>
    <r>
      <rPr>
        <sz val="12"/>
        <rFont val="Yu Gothic UI"/>
        <family val="3"/>
        <charset val="128"/>
      </rPr>
      <t>）</t>
    </r>
    <phoneticPr fontId="4"/>
  </si>
  <si>
    <t>政令月収</t>
    <rPh sb="0" eb="4">
      <t>セイレイゲッシュウ</t>
    </rPh>
    <phoneticPr fontId="4"/>
  </si>
  <si>
    <t>区分</t>
    <rPh sb="0" eb="2">
      <t>クブン</t>
    </rPh>
    <phoneticPr fontId="4"/>
  </si>
  <si>
    <t>裁量階層</t>
    <rPh sb="0" eb="4">
      <t>サイリョウカイソウ</t>
    </rPh>
    <phoneticPr fontId="4"/>
  </si>
  <si>
    <t>1LDK</t>
    <phoneticPr fontId="4"/>
  </si>
  <si>
    <t>想定世帯人員</t>
    <phoneticPr fontId="4"/>
  </si>
  <si>
    <t>3人以下</t>
    <phoneticPr fontId="4"/>
  </si>
  <si>
    <t>3人以上</t>
    <phoneticPr fontId="4"/>
  </si>
  <si>
    <t>2人以下</t>
    <phoneticPr fontId="4"/>
  </si>
  <si>
    <t>戸当たり面積</t>
    <phoneticPr fontId="4"/>
  </si>
  <si>
    <t>令和7年分以降の給与所得計算</t>
    <rPh sb="0" eb="2">
      <t>レイワ</t>
    </rPh>
    <rPh sb="3" eb="5">
      <t>ネンブン</t>
    </rPh>
    <rPh sb="5" eb="7">
      <t>イコウ</t>
    </rPh>
    <rPh sb="8" eb="10">
      <t>キュウヨ</t>
    </rPh>
    <rPh sb="10" eb="12">
      <t>ショトク</t>
    </rPh>
    <rPh sb="12" eb="14">
      <t>ケイサン</t>
    </rPh>
    <phoneticPr fontId="4"/>
  </si>
  <si>
    <t>n-65万</t>
    <phoneticPr fontId="4"/>
  </si>
  <si>
    <t>n*0.8-44万</t>
    <rPh sb="8" eb="9">
      <t>マン</t>
    </rPh>
    <phoneticPr fontId="4"/>
  </si>
  <si>
    <r>
      <t>同居される方に、</t>
    </r>
    <r>
      <rPr>
        <b/>
        <sz val="12"/>
        <color rgb="FFC00000"/>
        <rFont val="Yu Gothic UI"/>
        <family val="3"/>
        <charset val="128"/>
      </rPr>
      <t>未就学児</t>
    </r>
    <r>
      <rPr>
        <sz val="10"/>
        <rFont val="Yu Gothic UI"/>
        <family val="3"/>
        <charset val="128"/>
      </rPr>
      <t>（小学校就学の始期に達するまでの方）</t>
    </r>
    <r>
      <rPr>
        <sz val="12"/>
        <rFont val="Yu Gothic UI"/>
        <family val="3"/>
        <charset val="128"/>
      </rPr>
      <t>はいらっしゃいますか。</t>
    </r>
    <rPh sb="0" eb="2">
      <t>ドウキョ</t>
    </rPh>
    <rPh sb="5" eb="6">
      <t>カタ</t>
    </rPh>
    <rPh sb="8" eb="12">
      <t>ミシュウガクジ</t>
    </rPh>
    <rPh sb="28" eb="29">
      <t>カタ</t>
    </rPh>
    <phoneticPr fontId="4"/>
  </si>
  <si>
    <r>
      <t>入居・同居される方に、</t>
    </r>
    <r>
      <rPr>
        <b/>
        <sz val="12"/>
        <color rgb="FF0070C0"/>
        <rFont val="Yu Gothic UI"/>
        <family val="3"/>
        <charset val="128"/>
      </rPr>
      <t>下記のいずれかに該当する方</t>
    </r>
    <r>
      <rPr>
        <sz val="12"/>
        <rFont val="Yu Gothic UI"/>
        <family val="3"/>
        <charset val="128"/>
      </rPr>
      <t>はいらっしゃいますか。
　・戦傷病者特別援護法第2条第1項に規定する戦傷病者でその障害の程度が恩給法に規定する
　  特別項症から第6項症までまたは第1款症である方
　・原爆被爆者援護法第11条第1項の規定による厚生労働大臣の認定を受けている方
　・海外からの引揚者で本邦に引き揚げた日から起算して5年を経過していない方
　・ハンセン病補償法第2条に規定するハンセン病療養所入所者等である方</t>
    </r>
    <rPh sb="0" eb="2">
      <t>ニュウキョ</t>
    </rPh>
    <rPh sb="3" eb="5">
      <t>ドウキョ</t>
    </rPh>
    <rPh sb="8" eb="9">
      <t>カタ</t>
    </rPh>
    <rPh sb="11" eb="13">
      <t>カキ</t>
    </rPh>
    <rPh sb="19" eb="21">
      <t>ガイトウ</t>
    </rPh>
    <rPh sb="23" eb="24">
      <t>カタ</t>
    </rPh>
    <phoneticPr fontId="4"/>
  </si>
  <si>
    <t>住宅種類</t>
    <rPh sb="0" eb="2">
      <t>ジュウタク</t>
    </rPh>
    <rPh sb="2" eb="4">
      <t>シュルイ</t>
    </rPh>
    <phoneticPr fontId="4"/>
  </si>
  <si>
    <t>場所</t>
    <rPh sb="0" eb="2">
      <t>バショ</t>
    </rPh>
    <phoneticPr fontId="4"/>
  </si>
  <si>
    <t>復興公営住宅</t>
    <rPh sb="0" eb="6">
      <t>フッコウコウエイジュウタク</t>
    </rPh>
    <phoneticPr fontId="4"/>
  </si>
  <si>
    <t>志賀地域その１</t>
    <rPh sb="0" eb="4">
      <t>シカチイキ</t>
    </rPh>
    <phoneticPr fontId="4"/>
  </si>
  <si>
    <t>志賀地域その２</t>
    <rPh sb="0" eb="4">
      <t>シカチイキ</t>
    </rPh>
    <phoneticPr fontId="4"/>
  </si>
  <si>
    <t>富来地域その１</t>
    <rPh sb="0" eb="4">
      <t>トギチイキ</t>
    </rPh>
    <phoneticPr fontId="4"/>
  </si>
  <si>
    <t>富来地域その２</t>
    <rPh sb="0" eb="4">
      <t>トギチイキ</t>
    </rPh>
    <phoneticPr fontId="4"/>
  </si>
  <si>
    <t>とぎ第5団地</t>
    <rPh sb="2" eb="3">
      <t>ダイ</t>
    </rPh>
    <rPh sb="4" eb="6">
      <t>ダンチ</t>
    </rPh>
    <phoneticPr fontId="4"/>
  </si>
  <si>
    <t>とぎ第6団地</t>
    <rPh sb="2" eb="3">
      <t>ダイ</t>
    </rPh>
    <rPh sb="4" eb="6">
      <t>ダンチ</t>
    </rPh>
    <phoneticPr fontId="4"/>
  </si>
  <si>
    <t>とぎ第7団地</t>
    <rPh sb="2" eb="3">
      <t>ダイ</t>
    </rPh>
    <rPh sb="4" eb="6">
      <t>ダンチ</t>
    </rPh>
    <phoneticPr fontId="4"/>
  </si>
  <si>
    <t>とぎ第8団地</t>
    <rPh sb="2" eb="3">
      <t>ダイ</t>
    </rPh>
    <rPh sb="4" eb="6">
      <t>ダンチ</t>
    </rPh>
    <phoneticPr fontId="4"/>
  </si>
  <si>
    <t>1LDK</t>
    <phoneticPr fontId="4"/>
  </si>
  <si>
    <t>2LDK</t>
  </si>
  <si>
    <t>2LDK</t>
    <phoneticPr fontId="4"/>
  </si>
  <si>
    <t>3LDK</t>
    <phoneticPr fontId="4"/>
  </si>
  <si>
    <t>1DK</t>
    <phoneticPr fontId="4"/>
  </si>
  <si>
    <t>2DK</t>
    <phoneticPr fontId="4"/>
  </si>
  <si>
    <t>3DK</t>
    <phoneticPr fontId="4"/>
  </si>
  <si>
    <t>復興公営住宅</t>
    <rPh sb="0" eb="2">
      <t>フッコウ</t>
    </rPh>
    <rPh sb="2" eb="4">
      <t>コウエイ</t>
    </rPh>
    <rPh sb="4" eb="6">
      <t>ジュウタク</t>
    </rPh>
    <phoneticPr fontId="4"/>
  </si>
  <si>
    <t>＜「復興公営住宅」整備予定の住戸タイプ＞</t>
    <rPh sb="2" eb="8">
      <t>フッコウコウエイジュウタク</t>
    </rPh>
    <rPh sb="9" eb="13">
      <t>セイビヨテイ</t>
    </rPh>
    <rPh sb="14" eb="16">
      <t>ジュウコ</t>
    </rPh>
    <phoneticPr fontId="4"/>
  </si>
  <si>
    <t>1DK</t>
    <phoneticPr fontId="4"/>
  </si>
  <si>
    <t>2DK</t>
    <phoneticPr fontId="4"/>
  </si>
  <si>
    <t>3DK</t>
    <phoneticPr fontId="4"/>
  </si>
  <si>
    <t>約20㎡</t>
    <rPh sb="0" eb="1">
      <t>ヤク</t>
    </rPh>
    <phoneticPr fontId="4"/>
  </si>
  <si>
    <t>約30㎡</t>
    <rPh sb="0" eb="1">
      <t>ヤク</t>
    </rPh>
    <phoneticPr fontId="4"/>
  </si>
  <si>
    <t>約40㎡</t>
    <rPh sb="0" eb="1">
      <t>ヤク</t>
    </rPh>
    <phoneticPr fontId="4"/>
  </si>
  <si>
    <t>約50㎡</t>
    <rPh sb="0" eb="1">
      <t>ヤク</t>
    </rPh>
    <phoneticPr fontId="4"/>
  </si>
  <si>
    <t>約60㎡</t>
    <rPh sb="0" eb="1">
      <t>ヤク</t>
    </rPh>
    <phoneticPr fontId="4"/>
  </si>
  <si>
    <t>約70㎡</t>
    <rPh sb="0" eb="1">
      <t>ヤク</t>
    </rPh>
    <phoneticPr fontId="4"/>
  </si>
  <si>
    <t>60戸</t>
    <rPh sb="2" eb="3">
      <t>コ</t>
    </rPh>
    <phoneticPr fontId="4"/>
  </si>
  <si>
    <t>79戸</t>
    <rPh sb="2" eb="3">
      <t>コ</t>
    </rPh>
    <phoneticPr fontId="4"/>
  </si>
  <si>
    <t>15戸</t>
    <rPh sb="2" eb="3">
      <t>コ</t>
    </rPh>
    <phoneticPr fontId="4"/>
  </si>
  <si>
    <t>54戸</t>
    <rPh sb="2" eb="3">
      <t>コ</t>
    </rPh>
    <phoneticPr fontId="4"/>
  </si>
  <si>
    <t>9戸</t>
    <rPh sb="1" eb="2">
      <t>コ</t>
    </rPh>
    <phoneticPr fontId="4"/>
  </si>
  <si>
    <t>木造以外</t>
  </si>
  <si>
    <t>木造・簡易耐火平屋建</t>
  </si>
  <si>
    <t>1LDK</t>
  </si>
  <si>
    <t>3LDK</t>
  </si>
  <si>
    <t>1DK</t>
  </si>
  <si>
    <t>2DK</t>
  </si>
  <si>
    <t>3DK</t>
  </si>
  <si>
    <t>※入居後の家族構成や年齢、収入の変化により、家賃の額が変動する可能性があります。</t>
    <phoneticPr fontId="4"/>
  </si>
  <si>
    <t>志賀町では、下表に示す住戸を整備予定です。どちらの住戸タイプへ入居を希望するかを答えてください。</t>
    <rPh sb="0" eb="3">
      <t>シカマチ</t>
    </rPh>
    <rPh sb="6" eb="8">
      <t>カヒョウ</t>
    </rPh>
    <rPh sb="9" eb="10">
      <t>シメ</t>
    </rPh>
    <rPh sb="11" eb="13">
      <t>ジュウコ</t>
    </rPh>
    <rPh sb="14" eb="16">
      <t>セイビ</t>
    </rPh>
    <rPh sb="16" eb="18">
      <t>ヨテイ</t>
    </rPh>
    <rPh sb="25" eb="27">
      <t>ジュウコ</t>
    </rPh>
    <rPh sb="31" eb="33">
      <t>ニュウキョ</t>
    </rPh>
    <rPh sb="34" eb="36">
      <t>キボウ</t>
    </rPh>
    <rPh sb="40" eb="41">
      <t>コタ</t>
    </rPh>
    <phoneticPr fontId="4"/>
  </si>
  <si>
    <t>※家賃は年度ごとに更新されます。</t>
    <rPh sb="1" eb="3">
      <t>ヤチン</t>
    </rPh>
    <rPh sb="4" eb="6">
      <t>ネンド</t>
    </rPh>
    <rPh sb="9" eb="11">
      <t>コウシン</t>
    </rPh>
    <phoneticPr fontId="4"/>
  </si>
  <si>
    <t>年間支払額</t>
  </si>
  <si>
    <t>総支払額</t>
  </si>
  <si>
    <t>家賃</t>
  </si>
  <si>
    <t>R9</t>
    <phoneticPr fontId="44"/>
  </si>
  <si>
    <t>R10</t>
  </si>
  <si>
    <t>R11</t>
  </si>
  <si>
    <t>R12</t>
  </si>
  <si>
    <t>R13</t>
  </si>
  <si>
    <t>R14</t>
  </si>
  <si>
    <t>R15</t>
  </si>
  <si>
    <t>R16</t>
  </si>
  <si>
    <t>R17</t>
  </si>
  <si>
    <t>R18</t>
  </si>
  <si>
    <t>R19</t>
  </si>
  <si>
    <t>R20</t>
  </si>
  <si>
    <t>R21</t>
  </si>
  <si>
    <t>R22</t>
  </si>
  <si>
    <t>R23</t>
  </si>
  <si>
    <t>R24</t>
  </si>
  <si>
    <t>R25</t>
  </si>
  <si>
    <t>R26</t>
  </si>
  <si>
    <t>R27</t>
  </si>
  <si>
    <t>R28</t>
  </si>
  <si>
    <t>R29</t>
  </si>
  <si>
    <t>入居者の収入</t>
  </si>
  <si>
    <t>家賃算定</t>
  </si>
  <si>
    <t>築後年数</t>
  </si>
  <si>
    <t>基礎額（円）</t>
  </si>
  <si>
    <t xml:space="preserve">  0-10%</t>
  </si>
  <si>
    <t>104千円以下</t>
  </si>
  <si>
    <t>～</t>
  </si>
  <si>
    <t>円以下</t>
  </si>
  <si>
    <t>10-15%</t>
  </si>
  <si>
    <t>104千円超123千円以下</t>
  </si>
  <si>
    <t>円～</t>
  </si>
  <si>
    <t>15-20%</t>
  </si>
  <si>
    <t>123千円超139千円以下</t>
  </si>
  <si>
    <t>20-25%</t>
  </si>
  <si>
    <t>139千円超158千円以下</t>
  </si>
  <si>
    <t>25-32.5%</t>
  </si>
  <si>
    <t>158千円超186千円以下</t>
  </si>
  <si>
    <t>32.5-40%</t>
  </si>
  <si>
    <t>186千円超214千円以下</t>
  </si>
  <si>
    <t>40-50%</t>
  </si>
  <si>
    <t>214千円超259千円以下</t>
  </si>
  <si>
    <t>50%-</t>
  </si>
  <si>
    <t>259千円超</t>
  </si>
  <si>
    <t>構造</t>
    <rPh sb="0" eb="2">
      <t>コウゾウ</t>
    </rPh>
    <phoneticPr fontId="44"/>
  </si>
  <si>
    <t>準耐火構造</t>
  </si>
  <si>
    <t>住戸専用面積</t>
  </si>
  <si>
    <t>市町村立地係数</t>
  </si>
  <si>
    <t>規模係数</t>
  </si>
  <si>
    <t>利便性係数</t>
  </si>
  <si>
    <t>※公営住宅が存する区域及び周辺の地域の状況、公営住宅の設備等を勘案して0.5～1.3で設定</t>
  </si>
  <si>
    <t>経過年数係数の変数</t>
  </si>
  <si>
    <t>経過年数係数</t>
  </si>
  <si>
    <t>参考：市町村立地係数</t>
  </si>
  <si>
    <t>金沢</t>
  </si>
  <si>
    <t>小松、輪島、白山、野々市、内灘</t>
  </si>
  <si>
    <t>加賀</t>
  </si>
  <si>
    <t>津端</t>
  </si>
  <si>
    <t>上記以外</t>
  </si>
  <si>
    <t>参考：経過年数係数の変数（一般地域）</t>
  </si>
  <si>
    <t>近傍同種家賃</t>
  </si>
  <si>
    <t>経過年数</t>
  </si>
  <si>
    <t>建物の複成価格</t>
  </si>
  <si>
    <t>(円)　　A'</t>
  </si>
  <si>
    <t>=α*a-α*a*b/Ｙ*Ｋ</t>
  </si>
  <si>
    <t>複成価格×利回り</t>
  </si>
  <si>
    <t>(円) 　 A</t>
  </si>
  <si>
    <t>償却費</t>
  </si>
  <si>
    <t>(円)　　B</t>
  </si>
  <si>
    <t>=(α-α*c)/Ｙ</t>
  </si>
  <si>
    <t>修繕費</t>
  </si>
  <si>
    <t>(円)　　C</t>
  </si>
  <si>
    <t>=α*a*d</t>
  </si>
  <si>
    <t>管理事務費</t>
  </si>
  <si>
    <t>(円)　　D</t>
  </si>
  <si>
    <t>=α*a*e</t>
  </si>
  <si>
    <t>損害保険料</t>
  </si>
  <si>
    <t>(円)　　E</t>
  </si>
  <si>
    <t>=θ*f</t>
  </si>
  <si>
    <t>公課※</t>
  </si>
  <si>
    <t>(円)　　F</t>
  </si>
  <si>
    <t>貸倒・空家引当金</t>
  </si>
  <si>
    <t>(円)　　G</t>
  </si>
  <si>
    <t>=(A+B+C+D+E+F)*2/100</t>
  </si>
  <si>
    <t>近傍同種住宅家賃</t>
  </si>
  <si>
    <t>(円/月)  H</t>
  </si>
  <si>
    <t>=(A+B+C+D+E+F+G)/12</t>
  </si>
  <si>
    <t>※近傍同種家賃算定時の固定資産税新築減免（1/2）期間は５年間</t>
  </si>
  <si>
    <t>※住戸専用面積×1.25(実績値)と仮定</t>
  </si>
  <si>
    <t>主体附帯工事費（R6）</t>
  </si>
  <si>
    <t>※木造及び準耐火構造（平屋建）・豪雪・地域5</t>
    <rPh sb="11" eb="13">
      <t>ヒラヤ</t>
    </rPh>
    <phoneticPr fontId="44"/>
  </si>
  <si>
    <t>１戸当たり標準床面積（R6）</t>
  </si>
  <si>
    <t>主体附帯工事費</t>
  </si>
  <si>
    <t>特例加算</t>
  </si>
  <si>
    <t>※4000千円で設定</t>
  </si>
  <si>
    <t>補助対象外</t>
  </si>
  <si>
    <t>※差額</t>
  </si>
  <si>
    <t>合計</t>
  </si>
  <si>
    <t>※主体附帯工事費/0.65と仮定</t>
  </si>
  <si>
    <t>敷地面積</t>
    <rPh sb="0" eb="4">
      <t>シキチメンセキ</t>
    </rPh>
    <phoneticPr fontId="44"/>
  </si>
  <si>
    <t>戸数</t>
    <rPh sb="0" eb="2">
      <t>コスウ</t>
    </rPh>
    <phoneticPr fontId="44"/>
  </si>
  <si>
    <t>㎡当たり固定資産税評価額</t>
  </si>
  <si>
    <t>参考：年平均減価額算定乗率</t>
  </si>
  <si>
    <t>参考：耐用年数</t>
  </si>
  <si>
    <t>耐火構造</t>
  </si>
  <si>
    <t>準耐火構造・簡易耐火２階建</t>
  </si>
  <si>
    <t>参考：修繕費率</t>
  </si>
  <si>
    <t>参考：管理事務費</t>
  </si>
  <si>
    <t>参考：損害保険料率</t>
  </si>
  <si>
    <t>参考：損害保険料単価（R7）</t>
    <phoneticPr fontId="44"/>
  </si>
  <si>
    <t>簡易耐火構造</t>
  </si>
  <si>
    <t>木造等</t>
  </si>
  <si>
    <t>○設定値</t>
    <phoneticPr fontId="4"/>
  </si>
  <si>
    <t>↓災害公営竣工</t>
    <rPh sb="1" eb="3">
      <t>サイガイ</t>
    </rPh>
    <rPh sb="3" eb="5">
      <t>コウエイ</t>
    </rPh>
    <rPh sb="5" eb="7">
      <t>シュンコウ</t>
    </rPh>
    <phoneticPr fontId="44"/>
  </si>
  <si>
    <t>○計算</t>
    <rPh sb="1" eb="3">
      <t>ケイサン</t>
    </rPh>
    <phoneticPr fontId="4"/>
  </si>
  <si>
    <r>
      <t>公住法面積　</t>
    </r>
    <r>
      <rPr>
        <b/>
        <sz val="11"/>
        <color rgb="FF3366FF"/>
        <rFont val="游ゴシック"/>
        <family val="3"/>
        <charset val="128"/>
        <scheme val="minor"/>
      </rPr>
      <t>S</t>
    </r>
  </si>
  <si>
    <r>
      <t>規則23条乗率　</t>
    </r>
    <r>
      <rPr>
        <b/>
        <sz val="11"/>
        <color rgb="FF3366FF"/>
        <rFont val="游ゴシック"/>
        <family val="3"/>
        <charset val="128"/>
        <scheme val="minor"/>
      </rPr>
      <t>a</t>
    </r>
  </si>
  <si>
    <r>
      <t>年平均減価額算定乗率　</t>
    </r>
    <r>
      <rPr>
        <b/>
        <sz val="11"/>
        <color rgb="FF3366FF"/>
        <rFont val="游ゴシック"/>
        <family val="3"/>
        <charset val="128"/>
        <scheme val="minor"/>
      </rPr>
      <t>b</t>
    </r>
  </si>
  <si>
    <r>
      <t>残存価値算定率　</t>
    </r>
    <r>
      <rPr>
        <b/>
        <sz val="11"/>
        <color rgb="FF3366FF"/>
        <rFont val="游ゴシック"/>
        <family val="3"/>
        <charset val="128"/>
        <scheme val="minor"/>
      </rPr>
      <t>c</t>
    </r>
  </si>
  <si>
    <r>
      <t>修繕費率　</t>
    </r>
    <r>
      <rPr>
        <b/>
        <sz val="11"/>
        <color rgb="FF3366FF"/>
        <rFont val="游ゴシック"/>
        <family val="3"/>
        <charset val="128"/>
        <scheme val="minor"/>
      </rPr>
      <t>d</t>
    </r>
  </si>
  <si>
    <r>
      <t>管理事務費率</t>
    </r>
    <r>
      <rPr>
        <b/>
        <sz val="11"/>
        <color rgb="FF3366FF"/>
        <rFont val="游ゴシック"/>
        <family val="3"/>
        <charset val="128"/>
        <scheme val="minor"/>
      </rPr>
      <t>　e</t>
    </r>
  </si>
  <si>
    <r>
      <t>損害保険料率</t>
    </r>
    <r>
      <rPr>
        <b/>
        <sz val="11"/>
        <color rgb="FFFF0000"/>
        <rFont val="游ゴシック"/>
        <family val="3"/>
        <charset val="128"/>
        <scheme val="minor"/>
      </rPr>
      <t>　</t>
    </r>
    <r>
      <rPr>
        <b/>
        <sz val="11"/>
        <color theme="4"/>
        <rFont val="游ゴシック"/>
        <family val="3"/>
        <charset val="128"/>
        <scheme val="minor"/>
      </rPr>
      <t>f</t>
    </r>
  </si>
  <si>
    <r>
      <t>損保保険料単価　</t>
    </r>
    <r>
      <rPr>
        <b/>
        <sz val="11"/>
        <color rgb="FF3366FF"/>
        <rFont val="游ゴシック"/>
        <family val="3"/>
        <charset val="128"/>
        <scheme val="minor"/>
      </rPr>
      <t>g</t>
    </r>
  </si>
  <si>
    <r>
      <t>耐用年数　</t>
    </r>
    <r>
      <rPr>
        <b/>
        <sz val="11"/>
        <color rgb="FF3366FF"/>
        <rFont val="游ゴシック"/>
        <family val="3"/>
        <charset val="128"/>
        <scheme val="minor"/>
      </rPr>
      <t>Y</t>
    </r>
  </si>
  <si>
    <r>
      <t>戸当たり敷地面積　</t>
    </r>
    <r>
      <rPr>
        <b/>
        <sz val="11"/>
        <color rgb="FF3366FF"/>
        <rFont val="游ゴシック"/>
        <family val="3"/>
        <charset val="128"/>
        <scheme val="minor"/>
      </rPr>
      <t>S’</t>
    </r>
  </si>
  <si>
    <r>
      <t>住宅建設に要した費用　</t>
    </r>
    <r>
      <rPr>
        <b/>
        <sz val="11"/>
        <color rgb="FF3366FF"/>
        <rFont val="游ゴシック"/>
        <family val="3"/>
        <charset val="128"/>
        <scheme val="minor"/>
      </rPr>
      <t>α</t>
    </r>
  </si>
  <si>
    <r>
      <t>固定資産税評価額相当額　</t>
    </r>
    <r>
      <rPr>
        <b/>
        <sz val="11"/>
        <color rgb="FF3366FF"/>
        <rFont val="游ゴシック"/>
        <family val="3"/>
        <charset val="128"/>
        <scheme val="minor"/>
      </rPr>
      <t>β</t>
    </r>
  </si>
  <si>
    <r>
      <t>再調達価額　</t>
    </r>
    <r>
      <rPr>
        <b/>
        <sz val="11"/>
        <color rgb="FF3366FF"/>
        <rFont val="游ゴシック"/>
        <family val="3"/>
        <charset val="128"/>
        <scheme val="minor"/>
      </rPr>
      <t>θ</t>
    </r>
  </si>
  <si>
    <r>
      <t xml:space="preserve">(年)       </t>
    </r>
    <r>
      <rPr>
        <b/>
        <sz val="10"/>
        <color rgb="FF3366FF"/>
        <rFont val="游ゴシック"/>
        <family val="3"/>
        <charset val="128"/>
        <scheme val="minor"/>
      </rPr>
      <t>Ｋ</t>
    </r>
  </si>
  <si>
    <t>=A'*0.03+β*0.01</t>
  </si>
  <si>
    <t>F=A'*0.6*1/2*(0.014+0.00275)+β*(0.014*1/6+0.00275*1/3)</t>
  </si>
  <si>
    <t>実建設費</t>
    <rPh sb="0" eb="4">
      <t>ジツケンセツヒ</t>
    </rPh>
    <phoneticPr fontId="4"/>
  </si>
  <si>
    <t>敷地面積</t>
    <rPh sb="0" eb="4">
      <t>シキチメンセキ</t>
    </rPh>
    <phoneticPr fontId="4"/>
  </si>
  <si>
    <t>戸当たり建設費</t>
    <rPh sb="0" eb="2">
      <t>コア</t>
    </rPh>
    <rPh sb="4" eb="7">
      <t>ケンセツヒ</t>
    </rPh>
    <phoneticPr fontId="4"/>
  </si>
  <si>
    <t>戸数</t>
    <rPh sb="0" eb="2">
      <t>コスウ</t>
    </rPh>
    <phoneticPr fontId="4"/>
  </si>
  <si>
    <t>固定資産税評価額（円/㎡）</t>
    <rPh sb="0" eb="8">
      <t>コテイシサンゼイヒョウカガク</t>
    </rPh>
    <rPh sb="9" eb="10">
      <t>エン</t>
    </rPh>
    <phoneticPr fontId="4"/>
  </si>
  <si>
    <t>公募時上限建設費</t>
    <rPh sb="0" eb="3">
      <t>コウボジ</t>
    </rPh>
    <rPh sb="3" eb="5">
      <t>ジョウゲン</t>
    </rPh>
    <rPh sb="5" eb="8">
      <t>ケンセツヒ</t>
    </rPh>
    <phoneticPr fontId="4"/>
  </si>
  <si>
    <t>近傍同種の家賃　＝　複成価格　×　利回り　＋　償却額　＋　修繕費　＋　管理事務費　＋　損害保険料　＋　空家等引当金　＋　公課</t>
    <rPh sb="0" eb="2">
      <t>キンボウ</t>
    </rPh>
    <rPh sb="2" eb="4">
      <t>ドウシュ</t>
    </rPh>
    <rPh sb="5" eb="7">
      <t>ヤチン</t>
    </rPh>
    <rPh sb="10" eb="14">
      <t>フクセイカカク</t>
    </rPh>
    <rPh sb="17" eb="19">
      <t>リマワ</t>
    </rPh>
    <rPh sb="23" eb="26">
      <t>ショウキャクガク</t>
    </rPh>
    <rPh sb="29" eb="32">
      <t>シュウゼンヒ</t>
    </rPh>
    <rPh sb="35" eb="40">
      <t>カンリジムヒ</t>
    </rPh>
    <rPh sb="43" eb="48">
      <t>ソンガイホケンリョウ</t>
    </rPh>
    <rPh sb="51" eb="54">
      <t>アキヤトウ</t>
    </rPh>
    <rPh sb="54" eb="57">
      <t>ヒキアテキン</t>
    </rPh>
    <rPh sb="60" eb="62">
      <t>コウカ</t>
    </rPh>
    <phoneticPr fontId="4"/>
  </si>
  <si>
    <t>復興公営住宅では、買取事業者公募時の新築価格を基に、共同施設部分（集会所等）の費用を除くために0.9を掛けた推計値。木造応急仮設住宅では、当初建設費。</t>
    <rPh sb="0" eb="6">
      <t>フッコウコウエイジュウタク</t>
    </rPh>
    <rPh sb="9" eb="14">
      <t>カイトリジギョウシャ</t>
    </rPh>
    <rPh sb="14" eb="17">
      <t>コウボジ</t>
    </rPh>
    <rPh sb="18" eb="20">
      <t>シンチク</t>
    </rPh>
    <rPh sb="20" eb="22">
      <t>カカク</t>
    </rPh>
    <rPh sb="23" eb="24">
      <t>モト</t>
    </rPh>
    <rPh sb="26" eb="30">
      <t>キョウドウシセツ</t>
    </rPh>
    <rPh sb="30" eb="32">
      <t>ブブン</t>
    </rPh>
    <rPh sb="33" eb="36">
      <t>シュウカイジョ</t>
    </rPh>
    <rPh sb="36" eb="37">
      <t>ナド</t>
    </rPh>
    <rPh sb="39" eb="41">
      <t>ヒヨウ</t>
    </rPh>
    <rPh sb="42" eb="43">
      <t>ノゾ</t>
    </rPh>
    <rPh sb="51" eb="52">
      <t>カ</t>
    </rPh>
    <rPh sb="54" eb="57">
      <t>スイケイチ</t>
    </rPh>
    <rPh sb="58" eb="66">
      <t>モクゾウオウキュウカセツジュウタク</t>
    </rPh>
    <rPh sb="69" eb="74">
      <t>トウショケンセツヒ</t>
    </rPh>
    <phoneticPr fontId="4"/>
  </si>
  <si>
    <t>建設費</t>
    <rPh sb="0" eb="3">
      <t>ケンセツヒ</t>
    </rPh>
    <phoneticPr fontId="44"/>
  </si>
  <si>
    <t>団地</t>
    <rPh sb="0" eb="2">
      <t>ダンチ</t>
    </rPh>
    <phoneticPr fontId="4"/>
  </si>
  <si>
    <t>近傍同種家賃と家賃との差額</t>
    <rPh sb="0" eb="6">
      <t>キンボウドウシュヤチン</t>
    </rPh>
    <rPh sb="7" eb="9">
      <t>ヤチン</t>
    </rPh>
    <rPh sb="11" eb="13">
      <t>サガク</t>
    </rPh>
    <phoneticPr fontId="4"/>
  </si>
  <si>
    <t>令和10年度</t>
    <rPh sb="0" eb="2">
      <t>レイワ</t>
    </rPh>
    <rPh sb="4" eb="6">
      <t>ネンド</t>
    </rPh>
    <phoneticPr fontId="4"/>
  </si>
  <si>
    <t>令和11年度</t>
    <rPh sb="0" eb="2">
      <t>レイワ</t>
    </rPh>
    <rPh sb="4" eb="6">
      <t>ネンド</t>
    </rPh>
    <phoneticPr fontId="4"/>
  </si>
  <si>
    <t>令和12年度</t>
    <rPh sb="0" eb="2">
      <t>レイワ</t>
    </rPh>
    <rPh sb="4" eb="6">
      <t>ネンド</t>
    </rPh>
    <phoneticPr fontId="4"/>
  </si>
  <si>
    <t>令和13年度</t>
    <rPh sb="0" eb="2">
      <t>レイワ</t>
    </rPh>
    <rPh sb="4" eb="6">
      <t>ネンド</t>
    </rPh>
    <phoneticPr fontId="4"/>
  </si>
  <si>
    <t>令和14年度</t>
    <rPh sb="0" eb="2">
      <t>レイワ</t>
    </rPh>
    <rPh sb="4" eb="6">
      <t>ネンド</t>
    </rPh>
    <phoneticPr fontId="4"/>
  </si>
  <si>
    <t>令和15年度</t>
    <rPh sb="0" eb="2">
      <t>レイワ</t>
    </rPh>
    <rPh sb="4" eb="6">
      <t>ネンド</t>
    </rPh>
    <phoneticPr fontId="4"/>
  </si>
  <si>
    <t>令和16年度</t>
    <rPh sb="0" eb="2">
      <t>レイワ</t>
    </rPh>
    <rPh sb="4" eb="6">
      <t>ネンド</t>
    </rPh>
    <phoneticPr fontId="4"/>
  </si>
  <si>
    <t>令和17年度</t>
    <rPh sb="0" eb="2">
      <t>レイワ</t>
    </rPh>
    <rPh sb="4" eb="6">
      <t>ネンド</t>
    </rPh>
    <phoneticPr fontId="4"/>
  </si>
  <si>
    <t>令和18年度</t>
    <rPh sb="0" eb="2">
      <t>レイワ</t>
    </rPh>
    <rPh sb="4" eb="6">
      <t>ネンド</t>
    </rPh>
    <phoneticPr fontId="4"/>
  </si>
  <si>
    <t>令和19年度</t>
    <rPh sb="0" eb="2">
      <t>レイワ</t>
    </rPh>
    <rPh sb="4" eb="6">
      <t>ネンド</t>
    </rPh>
    <phoneticPr fontId="4"/>
  </si>
  <si>
    <t>令和20年度</t>
    <rPh sb="0" eb="2">
      <t>レイワ</t>
    </rPh>
    <rPh sb="4" eb="6">
      <t>ネンド</t>
    </rPh>
    <phoneticPr fontId="4"/>
  </si>
  <si>
    <t>令和21年度</t>
    <rPh sb="0" eb="2">
      <t>レイワ</t>
    </rPh>
    <rPh sb="4" eb="6">
      <t>ネンド</t>
    </rPh>
    <phoneticPr fontId="4"/>
  </si>
  <si>
    <t>令和22年度</t>
    <rPh sb="0" eb="2">
      <t>レイワ</t>
    </rPh>
    <rPh sb="4" eb="6">
      <t>ネンド</t>
    </rPh>
    <phoneticPr fontId="4"/>
  </si>
  <si>
    <t>令和23年度</t>
    <rPh sb="0" eb="2">
      <t>レイワ</t>
    </rPh>
    <rPh sb="4" eb="6">
      <t>ネンド</t>
    </rPh>
    <phoneticPr fontId="4"/>
  </si>
  <si>
    <t>令和24年度</t>
    <rPh sb="0" eb="2">
      <t>レイワ</t>
    </rPh>
    <rPh sb="4" eb="6">
      <t>ネンド</t>
    </rPh>
    <phoneticPr fontId="4"/>
  </si>
  <si>
    <t>令和25年度</t>
    <rPh sb="0" eb="2">
      <t>レイワ</t>
    </rPh>
    <rPh sb="4" eb="6">
      <t>ネンド</t>
    </rPh>
    <phoneticPr fontId="4"/>
  </si>
  <si>
    <t>令和26年度</t>
    <rPh sb="0" eb="2">
      <t>レイワ</t>
    </rPh>
    <rPh sb="4" eb="6">
      <t>ネンド</t>
    </rPh>
    <phoneticPr fontId="4"/>
  </si>
  <si>
    <t>令和27年度</t>
    <rPh sb="0" eb="2">
      <t>レイワ</t>
    </rPh>
    <rPh sb="4" eb="6">
      <t>ネンド</t>
    </rPh>
    <phoneticPr fontId="4"/>
  </si>
  <si>
    <t>令和28年度</t>
    <rPh sb="0" eb="2">
      <t>レイワ</t>
    </rPh>
    <rPh sb="4" eb="6">
      <t>ネンド</t>
    </rPh>
    <phoneticPr fontId="4"/>
  </si>
  <si>
    <t>1年目</t>
    <rPh sb="1" eb="3">
      <t>ネンメ</t>
    </rPh>
    <phoneticPr fontId="4"/>
  </si>
  <si>
    <t>2年目</t>
    <rPh sb="1" eb="3">
      <t>ネンメ</t>
    </rPh>
    <phoneticPr fontId="4"/>
  </si>
  <si>
    <t>3年目</t>
    <rPh sb="1" eb="3">
      <t>ネンメ</t>
    </rPh>
    <phoneticPr fontId="4"/>
  </si>
  <si>
    <t>4年目</t>
    <rPh sb="1" eb="3">
      <t>ネンメ</t>
    </rPh>
    <phoneticPr fontId="4"/>
  </si>
  <si>
    <t>5年目</t>
    <rPh sb="1" eb="3">
      <t>ネンメ</t>
    </rPh>
    <phoneticPr fontId="4"/>
  </si>
  <si>
    <t>6年目</t>
    <rPh sb="1" eb="3">
      <t>ネンメ</t>
    </rPh>
    <phoneticPr fontId="4"/>
  </si>
  <si>
    <t>7年目</t>
    <rPh sb="1" eb="3">
      <t>ネンメ</t>
    </rPh>
    <phoneticPr fontId="4"/>
  </si>
  <si>
    <t>8年目</t>
    <rPh sb="1" eb="3">
      <t>ネンメ</t>
    </rPh>
    <phoneticPr fontId="4"/>
  </si>
  <si>
    <t>-</t>
    <phoneticPr fontId="4"/>
  </si>
  <si>
    <t>9年目</t>
    <rPh sb="1" eb="3">
      <t>ネンメ</t>
    </rPh>
    <phoneticPr fontId="4"/>
  </si>
  <si>
    <t>10年目</t>
    <rPh sb="2" eb="4">
      <t>ネンメ</t>
    </rPh>
    <phoneticPr fontId="4"/>
  </si>
  <si>
    <t>11年目</t>
    <rPh sb="2" eb="4">
      <t>ネンメ</t>
    </rPh>
    <phoneticPr fontId="4"/>
  </si>
  <si>
    <t>12年目</t>
    <rPh sb="2" eb="4">
      <t>ネンメ</t>
    </rPh>
    <phoneticPr fontId="4"/>
  </si>
  <si>
    <t>13年目</t>
    <rPh sb="2" eb="4">
      <t>ネンメ</t>
    </rPh>
    <phoneticPr fontId="4"/>
  </si>
  <si>
    <t>14年目</t>
    <rPh sb="2" eb="4">
      <t>ネンメ</t>
    </rPh>
    <phoneticPr fontId="4"/>
  </si>
  <si>
    <t>15年目</t>
    <rPh sb="2" eb="4">
      <t>ネンメ</t>
    </rPh>
    <phoneticPr fontId="4"/>
  </si>
  <si>
    <t>16年目</t>
    <rPh sb="2" eb="4">
      <t>ネンメ</t>
    </rPh>
    <phoneticPr fontId="4"/>
  </si>
  <si>
    <t>17年目</t>
    <rPh sb="2" eb="4">
      <t>ネンメ</t>
    </rPh>
    <phoneticPr fontId="4"/>
  </si>
  <si>
    <t>18年目</t>
    <rPh sb="2" eb="4">
      <t>ネンメ</t>
    </rPh>
    <phoneticPr fontId="4"/>
  </si>
  <si>
    <t>19年目</t>
    <rPh sb="2" eb="4">
      <t>ネンメ</t>
    </rPh>
    <phoneticPr fontId="4"/>
  </si>
  <si>
    <t>20年目</t>
    <rPh sb="2" eb="4">
      <t>ネンメ</t>
    </rPh>
    <phoneticPr fontId="4"/>
  </si>
  <si>
    <t>入居3年以上経過し、割増家賃を求める初年度</t>
    <rPh sb="0" eb="2">
      <t>ニュウキョ</t>
    </rPh>
    <rPh sb="3" eb="6">
      <t>ネンイジョウ</t>
    </rPh>
    <rPh sb="6" eb="8">
      <t>ケイカ</t>
    </rPh>
    <rPh sb="10" eb="12">
      <t>ワリマシ</t>
    </rPh>
    <rPh sb="12" eb="14">
      <t>ヤチン</t>
    </rPh>
    <rPh sb="15" eb="16">
      <t>モト</t>
    </rPh>
    <rPh sb="18" eb="21">
      <t>ショネンド</t>
    </rPh>
    <phoneticPr fontId="4"/>
  </si>
  <si>
    <t>初年度の翌年度</t>
    <rPh sb="0" eb="3">
      <t>ショネンド</t>
    </rPh>
    <rPh sb="4" eb="7">
      <t>ヨクネンド</t>
    </rPh>
    <phoneticPr fontId="4"/>
  </si>
  <si>
    <t>初年度の翌々年度</t>
    <rPh sb="0" eb="3">
      <t>ショネンド</t>
    </rPh>
    <rPh sb="4" eb="5">
      <t>ヨク</t>
    </rPh>
    <rPh sb="6" eb="8">
      <t>ネンド</t>
    </rPh>
    <phoneticPr fontId="4"/>
  </si>
  <si>
    <t>初年度から起算して3年度を経過した年度</t>
    <rPh sb="0" eb="3">
      <t>ショネンド</t>
    </rPh>
    <rPh sb="5" eb="7">
      <t>キサン</t>
    </rPh>
    <rPh sb="10" eb="12">
      <t>ネンド</t>
    </rPh>
    <rPh sb="13" eb="15">
      <t>ケイカ</t>
    </rPh>
    <rPh sb="17" eb="19">
      <t>ネンド</t>
    </rPh>
    <phoneticPr fontId="4"/>
  </si>
  <si>
    <t>初年度から起算して4年度を経過した年度</t>
    <rPh sb="0" eb="3">
      <t>ショネンド</t>
    </rPh>
    <rPh sb="5" eb="7">
      <t>キサン</t>
    </rPh>
    <rPh sb="10" eb="12">
      <t>ネンド</t>
    </rPh>
    <rPh sb="13" eb="15">
      <t>ケイカ</t>
    </rPh>
    <rPh sb="17" eb="19">
      <t>ネンド</t>
    </rPh>
    <phoneticPr fontId="4"/>
  </si>
  <si>
    <t>初年度から起算して5年度を経過した年度</t>
    <rPh sb="0" eb="3">
      <t>ショネンド</t>
    </rPh>
    <rPh sb="5" eb="7">
      <t>キサン</t>
    </rPh>
    <rPh sb="10" eb="12">
      <t>ネンド</t>
    </rPh>
    <rPh sb="13" eb="15">
      <t>ケイカ</t>
    </rPh>
    <rPh sb="17" eb="19">
      <t>ネンド</t>
    </rPh>
    <phoneticPr fontId="4"/>
  </si>
  <si>
    <t>初年度から起算して6年度を経過した年度</t>
    <rPh sb="0" eb="3">
      <t>ショネンド</t>
    </rPh>
    <rPh sb="5" eb="7">
      <t>キサン</t>
    </rPh>
    <rPh sb="10" eb="12">
      <t>ネンド</t>
    </rPh>
    <rPh sb="13" eb="15">
      <t>ケイカ</t>
    </rPh>
    <rPh sb="17" eb="19">
      <t>ネンド</t>
    </rPh>
    <phoneticPr fontId="4"/>
  </si>
  <si>
    <t>初年度から起算して7年度を経過した年度</t>
    <rPh sb="0" eb="3">
      <t>ショネンド</t>
    </rPh>
    <rPh sb="5" eb="7">
      <t>キサン</t>
    </rPh>
    <rPh sb="10" eb="12">
      <t>ネンド</t>
    </rPh>
    <rPh sb="13" eb="15">
      <t>ケイカ</t>
    </rPh>
    <rPh sb="17" eb="19">
      <t>ネンド</t>
    </rPh>
    <phoneticPr fontId="4"/>
  </si>
  <si>
    <t>初年度から起算して8年度を経過した年度</t>
    <rPh sb="0" eb="3">
      <t>ショネンド</t>
    </rPh>
    <rPh sb="5" eb="7">
      <t>キサン</t>
    </rPh>
    <rPh sb="10" eb="12">
      <t>ネンド</t>
    </rPh>
    <rPh sb="13" eb="15">
      <t>ケイカ</t>
    </rPh>
    <rPh sb="17" eb="19">
      <t>ネンド</t>
    </rPh>
    <phoneticPr fontId="4"/>
  </si>
  <si>
    <t>初年度から起算して9年度を経過した年度</t>
    <rPh sb="0" eb="3">
      <t>ショネンド</t>
    </rPh>
    <rPh sb="5" eb="7">
      <t>キサン</t>
    </rPh>
    <rPh sb="10" eb="12">
      <t>ネンド</t>
    </rPh>
    <rPh sb="13" eb="15">
      <t>ケイカ</t>
    </rPh>
    <rPh sb="17" eb="19">
      <t>ネンド</t>
    </rPh>
    <phoneticPr fontId="4"/>
  </si>
  <si>
    <t>初年度から起算して10年度を経過した年度</t>
    <rPh sb="0" eb="3">
      <t>ショネンド</t>
    </rPh>
    <rPh sb="5" eb="7">
      <t>キサン</t>
    </rPh>
    <rPh sb="11" eb="13">
      <t>ネンド</t>
    </rPh>
    <rPh sb="14" eb="16">
      <t>ケイカ</t>
    </rPh>
    <rPh sb="18" eb="20">
      <t>ネンド</t>
    </rPh>
    <phoneticPr fontId="4"/>
  </si>
  <si>
    <t>初年度から起算して11年度を経過した年度</t>
    <rPh sb="0" eb="3">
      <t>ショネンド</t>
    </rPh>
    <rPh sb="5" eb="7">
      <t>キサン</t>
    </rPh>
    <rPh sb="11" eb="13">
      <t>ネンド</t>
    </rPh>
    <rPh sb="14" eb="16">
      <t>ケイカ</t>
    </rPh>
    <rPh sb="18" eb="20">
      <t>ネンド</t>
    </rPh>
    <phoneticPr fontId="4"/>
  </si>
  <si>
    <t>初年度から起算して12年度を経過した年度</t>
    <rPh sb="0" eb="3">
      <t>ショネンド</t>
    </rPh>
    <rPh sb="5" eb="7">
      <t>キサン</t>
    </rPh>
    <rPh sb="11" eb="13">
      <t>ネンド</t>
    </rPh>
    <rPh sb="14" eb="16">
      <t>ケイカ</t>
    </rPh>
    <rPh sb="18" eb="20">
      <t>ネンド</t>
    </rPh>
    <phoneticPr fontId="4"/>
  </si>
  <si>
    <t>初年度から起算して13年度を経過した年度</t>
    <rPh sb="0" eb="3">
      <t>ショネンド</t>
    </rPh>
    <rPh sb="5" eb="7">
      <t>キサン</t>
    </rPh>
    <rPh sb="11" eb="13">
      <t>ネンド</t>
    </rPh>
    <rPh sb="14" eb="16">
      <t>ケイカ</t>
    </rPh>
    <rPh sb="18" eb="20">
      <t>ネンド</t>
    </rPh>
    <phoneticPr fontId="4"/>
  </si>
  <si>
    <t>初年度から起算して14年度を経過した年度</t>
    <rPh sb="0" eb="3">
      <t>ショネンド</t>
    </rPh>
    <rPh sb="5" eb="7">
      <t>キサン</t>
    </rPh>
    <rPh sb="11" eb="13">
      <t>ネンド</t>
    </rPh>
    <rPh sb="14" eb="16">
      <t>ケイカ</t>
    </rPh>
    <rPh sb="18" eb="20">
      <t>ネンド</t>
    </rPh>
    <phoneticPr fontId="4"/>
  </si>
  <si>
    <t>初年度から起算して15年度を経過した年度</t>
    <rPh sb="0" eb="3">
      <t>ショネンド</t>
    </rPh>
    <rPh sb="5" eb="7">
      <t>キサン</t>
    </rPh>
    <rPh sb="11" eb="13">
      <t>ネンド</t>
    </rPh>
    <rPh sb="14" eb="16">
      <t>ケイカ</t>
    </rPh>
    <rPh sb="18" eb="20">
      <t>ネンド</t>
    </rPh>
    <phoneticPr fontId="4"/>
  </si>
  <si>
    <t>初年度から起算して16年度を経過した年度</t>
    <rPh sb="0" eb="3">
      <t>ショネンド</t>
    </rPh>
    <rPh sb="5" eb="7">
      <t>キサン</t>
    </rPh>
    <rPh sb="11" eb="13">
      <t>ネンド</t>
    </rPh>
    <rPh sb="14" eb="16">
      <t>ケイカ</t>
    </rPh>
    <rPh sb="18" eb="20">
      <t>ネンド</t>
    </rPh>
    <phoneticPr fontId="4"/>
  </si>
  <si>
    <t>R13年度</t>
    <rPh sb="3" eb="5">
      <t>ネンド</t>
    </rPh>
    <phoneticPr fontId="4"/>
  </si>
  <si>
    <t>R14年度</t>
    <rPh sb="3" eb="5">
      <t>ネンド</t>
    </rPh>
    <phoneticPr fontId="4"/>
  </si>
  <si>
    <t>R15年度</t>
    <rPh sb="3" eb="5">
      <t>ネンド</t>
    </rPh>
    <phoneticPr fontId="4"/>
  </si>
  <si>
    <t>R16年度</t>
    <rPh sb="3" eb="5">
      <t>ネンド</t>
    </rPh>
    <phoneticPr fontId="4"/>
  </si>
  <si>
    <t>R17年度</t>
    <rPh sb="3" eb="5">
      <t>ネンド</t>
    </rPh>
    <phoneticPr fontId="4"/>
  </si>
  <si>
    <t>R18年度</t>
    <rPh sb="3" eb="5">
      <t>ネンド</t>
    </rPh>
    <phoneticPr fontId="4"/>
  </si>
  <si>
    <t>R19年度</t>
    <rPh sb="3" eb="5">
      <t>ネンド</t>
    </rPh>
    <phoneticPr fontId="4"/>
  </si>
  <si>
    <t>R20年度</t>
    <rPh sb="3" eb="5">
      <t>ネンド</t>
    </rPh>
    <phoneticPr fontId="4"/>
  </si>
  <si>
    <t>R21年度</t>
    <rPh sb="3" eb="5">
      <t>ネンド</t>
    </rPh>
    <phoneticPr fontId="4"/>
  </si>
  <si>
    <t>R22年度</t>
    <rPh sb="3" eb="5">
      <t>ネンド</t>
    </rPh>
    <phoneticPr fontId="4"/>
  </si>
  <si>
    <t>R23年度</t>
    <rPh sb="3" eb="5">
      <t>ネンド</t>
    </rPh>
    <phoneticPr fontId="4"/>
  </si>
  <si>
    <t>R24年度</t>
    <rPh sb="3" eb="5">
      <t>ネンド</t>
    </rPh>
    <phoneticPr fontId="4"/>
  </si>
  <si>
    <t>R25年度</t>
    <rPh sb="3" eb="5">
      <t>ネンド</t>
    </rPh>
    <phoneticPr fontId="4"/>
  </si>
  <si>
    <t>R26年度</t>
    <rPh sb="3" eb="5">
      <t>ネンド</t>
    </rPh>
    <phoneticPr fontId="4"/>
  </si>
  <si>
    <t>R27年度</t>
    <rPh sb="3" eb="5">
      <t>ネンド</t>
    </rPh>
    <phoneticPr fontId="4"/>
  </si>
  <si>
    <t>R28年度</t>
    <rPh sb="3" eb="5">
      <t>ネンド</t>
    </rPh>
    <phoneticPr fontId="4"/>
  </si>
  <si>
    <t>R29年度</t>
    <rPh sb="3" eb="5">
      <t>ネンド</t>
    </rPh>
    <phoneticPr fontId="4"/>
  </si>
  <si>
    <t>町条例§6(2)ア(イ)</t>
    <rPh sb="0" eb="1">
      <t>マチ</t>
    </rPh>
    <rPh sb="1" eb="3">
      <t>ジョウレイ</t>
    </rPh>
    <phoneticPr fontId="3"/>
  </si>
  <si>
    <t>町条例§6(2)ア(エ)</t>
    <rPh sb="0" eb="1">
      <t>マチ</t>
    </rPh>
    <rPh sb="1" eb="3">
      <t>ジョウレイ</t>
    </rPh>
    <phoneticPr fontId="3"/>
  </si>
  <si>
    <t>町条例§6(2)ア(ア)</t>
    <rPh sb="0" eb="1">
      <t>マチ</t>
    </rPh>
    <rPh sb="1" eb="3">
      <t>ジョウレイ</t>
    </rPh>
    <phoneticPr fontId="3"/>
  </si>
  <si>
    <t>町条例§6(2)ア(ウ)</t>
    <rPh sb="0" eb="1">
      <t>マチ</t>
    </rPh>
    <rPh sb="1" eb="3">
      <t>ジョウレイ</t>
    </rPh>
    <phoneticPr fontId="3"/>
  </si>
  <si>
    <t>町条例§6(2)ア(ア)、
§6Ⅱ(3),(4),(6),(7)</t>
    <rPh sb="0" eb="1">
      <t>マチ</t>
    </rPh>
    <rPh sb="1" eb="3">
      <t>ジョウレイ</t>
    </rPh>
    <phoneticPr fontId="3"/>
  </si>
  <si>
    <t>戦傷病者、被爆者、引揚者、ハンセン病療養所入所者</t>
    <rPh sb="0" eb="2">
      <t>センショウ</t>
    </rPh>
    <rPh sb="2" eb="4">
      <t>ビョウシャ</t>
    </rPh>
    <phoneticPr fontId="3"/>
  </si>
  <si>
    <t>間取り別住戸専用面積</t>
    <rPh sb="0" eb="2">
      <t>マド</t>
    </rPh>
    <rPh sb="3" eb="4">
      <t>ベツ</t>
    </rPh>
    <rPh sb="4" eb="10">
      <t>ジュウコセンヨウメンセキ</t>
    </rPh>
    <phoneticPr fontId="4"/>
  </si>
  <si>
    <t>○法定係数</t>
    <rPh sb="1" eb="5">
      <t>ホウテイケイスウ</t>
    </rPh>
    <phoneticPr fontId="4"/>
  </si>
  <si>
    <t>志賀町 復興公営住宅・木造仮設住宅を転用した町営の賃貸住宅　家賃シミュレーションツール</t>
    <rPh sb="0" eb="3">
      <t>シカマチ</t>
    </rPh>
    <rPh sb="4" eb="10">
      <t>フッコウコウエイジュウタク</t>
    </rPh>
    <rPh sb="11" eb="13">
      <t>モクゾウ</t>
    </rPh>
    <rPh sb="13" eb="15">
      <t>カセツ</t>
    </rPh>
    <rPh sb="15" eb="17">
      <t>ジュウタク</t>
    </rPh>
    <rPh sb="18" eb="20">
      <t>テンヨウ</t>
    </rPh>
    <rPh sb="22" eb="24">
      <t>チョウエイ</t>
    </rPh>
    <rPh sb="25" eb="27">
      <t>チンタイ</t>
    </rPh>
    <rPh sb="27" eb="29">
      <t>ジュウタク</t>
    </rPh>
    <rPh sb="30" eb="32">
      <t>ヤチン</t>
    </rPh>
    <phoneticPr fontId="4"/>
  </si>
  <si>
    <t>　　　　　　実際に入居する場合の家賃は、復興公営住宅または木造仮設住宅を転用した町営の賃貸住宅の申込みを行った後に確定します。</t>
    <rPh sb="6" eb="8">
      <t>ジッサイ</t>
    </rPh>
    <rPh sb="9" eb="11">
      <t>ニュウキョ</t>
    </rPh>
    <rPh sb="13" eb="15">
      <t>バアイ</t>
    </rPh>
    <phoneticPr fontId="4"/>
  </si>
  <si>
    <t>復興公営住宅または木造仮設住宅を転用した町営の賃貸住宅 に入居を希望する入居者・同居者全員について、年齢、ひとり親等の該当状況、障害の有無、年間の収入等を記入してください。</t>
    <rPh sb="0" eb="6">
      <t>フッコウコウエイジュウタク</t>
    </rPh>
    <rPh sb="9" eb="11">
      <t>モクゾウ</t>
    </rPh>
    <rPh sb="11" eb="13">
      <t>カセツ</t>
    </rPh>
    <rPh sb="13" eb="15">
      <t>ジュウタク</t>
    </rPh>
    <rPh sb="16" eb="18">
      <t>テンヨウ</t>
    </rPh>
    <rPh sb="20" eb="22">
      <t>チョウエイ</t>
    </rPh>
    <rPh sb="23" eb="25">
      <t>チンタイ</t>
    </rPh>
    <rPh sb="25" eb="27">
      <t>ジュウタク</t>
    </rPh>
    <rPh sb="29" eb="31">
      <t>ニュウキョ</t>
    </rPh>
    <rPh sb="32" eb="34">
      <t>キボウ</t>
    </rPh>
    <rPh sb="36" eb="39">
      <t>ニュウキョシャ</t>
    </rPh>
    <rPh sb="40" eb="43">
      <t>ドウキョシャ</t>
    </rPh>
    <rPh sb="43" eb="45">
      <t>ゼンイン</t>
    </rPh>
    <rPh sb="50" eb="52">
      <t>ネンレイ</t>
    </rPh>
    <rPh sb="56" eb="58">
      <t>オヤトウ</t>
    </rPh>
    <rPh sb="59" eb="63">
      <t>ガイトウジョウキョウ</t>
    </rPh>
    <rPh sb="64" eb="66">
      <t>ショウガイ</t>
    </rPh>
    <rPh sb="67" eb="69">
      <t>ウム</t>
    </rPh>
    <rPh sb="70" eb="72">
      <t>ネンカン</t>
    </rPh>
    <rPh sb="73" eb="76">
      <t>シュウニュウトウ</t>
    </rPh>
    <rPh sb="77" eb="79">
      <t>キニュウ</t>
    </rPh>
    <phoneticPr fontId="4"/>
  </si>
  <si>
    <t>復興公営住宅または木造仮設住宅を転用した町営の賃貸住宅 に入居を希望する入居者・同居者について、次の２つの質問に答えてください。</t>
    <rPh sb="48" eb="49">
      <t>ツギ</t>
    </rPh>
    <rPh sb="53" eb="55">
      <t>シツモン</t>
    </rPh>
    <rPh sb="56" eb="57">
      <t>コタ</t>
    </rPh>
    <phoneticPr fontId="4"/>
  </si>
  <si>
    <r>
      <t>復興公営住宅または木造仮設住宅を転用した町営の賃貸住宅 に入居を希望する入居者や同居者を含む世帯</t>
    </r>
    <r>
      <rPr>
        <sz val="12"/>
        <color rgb="FFC00000"/>
        <rFont val="Yu Gothic UI"/>
        <family val="3"/>
        <charset val="128"/>
      </rPr>
      <t>（世帯人員には、別居する方も含みます）</t>
    </r>
    <r>
      <rPr>
        <sz val="12"/>
        <rFont val="Yu Gothic UI"/>
        <family val="3"/>
        <charset val="128"/>
      </rPr>
      <t>について、次の６つの質問に答えてください。</t>
    </r>
    <rPh sb="44" eb="45">
      <t>フク</t>
    </rPh>
    <rPh sb="46" eb="48">
      <t>セタイ</t>
    </rPh>
    <rPh sb="49" eb="52">
      <t>セタイジン</t>
    </rPh>
    <rPh sb="52" eb="53">
      <t>イン</t>
    </rPh>
    <rPh sb="56" eb="58">
      <t>ベッキョ</t>
    </rPh>
    <rPh sb="60" eb="61">
      <t>カタ</t>
    </rPh>
    <rPh sb="62" eb="63">
      <t>フク</t>
    </rPh>
    <rPh sb="72" eb="73">
      <t>ツギ</t>
    </rPh>
    <rPh sb="77" eb="79">
      <t>シツモン</t>
    </rPh>
    <rPh sb="80" eb="81">
      <t>コタ</t>
    </rPh>
    <phoneticPr fontId="4"/>
  </si>
  <si>
    <t>木造仮設住宅を転用した町営の賃貸住宅</t>
    <rPh sb="0" eb="2">
      <t>モクゾウ</t>
    </rPh>
    <rPh sb="2" eb="4">
      <t>カセツ</t>
    </rPh>
    <rPh sb="4" eb="6">
      <t>ジュウタク</t>
    </rPh>
    <rPh sb="7" eb="9">
      <t>テンヨウ</t>
    </rPh>
    <rPh sb="11" eb="13">
      <t>チョウエイ</t>
    </rPh>
    <rPh sb="14" eb="16">
      <t>チンタイ</t>
    </rPh>
    <rPh sb="16" eb="18">
      <t>ジュウタク</t>
    </rPh>
    <phoneticPr fontId="4"/>
  </si>
  <si>
    <t>＜「木造仮設住宅を転用した町営の賃貸住宅」整備予定の住戸タイプ＞</t>
    <rPh sb="2" eb="4">
      <t>モクゾウ</t>
    </rPh>
    <rPh sb="4" eb="6">
      <t>カセツ</t>
    </rPh>
    <rPh sb="6" eb="8">
      <t>ジュウタク</t>
    </rPh>
    <rPh sb="9" eb="11">
      <t>テンヨウ</t>
    </rPh>
    <rPh sb="13" eb="15">
      <t>チョウエイ</t>
    </rPh>
    <rPh sb="16" eb="18">
      <t>チンタイ</t>
    </rPh>
    <rPh sb="18" eb="20">
      <t>ジュウタク</t>
    </rPh>
    <rPh sb="21" eb="25">
      <t>セイビヨテイ</t>
    </rPh>
    <rPh sb="26" eb="28">
      <t>ジュウコ</t>
    </rPh>
    <phoneticPr fontId="4"/>
  </si>
  <si>
    <t>政令月収の控除額を計算する際の「障害者」や「特別障害者」は所得税法の定義を引用しています。
所得税法施行令第10条第1項の規定による障害者には、知的・精神・身体障害者のほか、戦傷病者や原爆被爆者、常に就床を要し、複雑な介護を要する者、障害者に準ずるものとして市長村長の認定を受けている者が含まれますが、このシートでは考慮できていません。</t>
    <phoneticPr fontId="4"/>
  </si>
  <si>
    <t>復興公営住宅の入居者は市条例第6条第3項第4号の規定により裁量階層（基準額21.4万円）として扱われるものの、災害の発生の日から３年以降は同条第1項第2号イの規定により、基準額が15.8万円となることから、計算上は裁量階層に非該当として扱っています。</t>
    <phoneticPr fontId="4"/>
  </si>
  <si>
    <t>令和9年度</t>
    <rPh sb="0" eb="2">
      <t>レイワ</t>
    </rPh>
    <rPh sb="3" eb="5">
      <t>ネンド</t>
    </rPh>
    <phoneticPr fontId="4"/>
  </si>
  <si>
    <t>災害公営竣工→</t>
    <phoneticPr fontId="4"/>
  </si>
  <si>
    <t>木造仮設竣工→</t>
    <rPh sb="0" eb="4">
      <t>モクゾウカセツ</t>
    </rPh>
    <rPh sb="4" eb="6">
      <t>シュンコウ</t>
    </rPh>
    <phoneticPr fontId="4"/>
  </si>
  <si>
    <t>R9</t>
  </si>
  <si>
    <t>R6</t>
    <phoneticPr fontId="4"/>
  </si>
  <si>
    <t>R7</t>
  </si>
  <si>
    <t>R8</t>
  </si>
  <si>
    <t>【参考】
入居年数</t>
    <phoneticPr fontId="4"/>
  </si>
  <si>
    <r>
      <t xml:space="preserve">【参考】
支払総額
</t>
    </r>
    <r>
      <rPr>
        <b/>
        <sz val="10"/>
        <rFont val="Yu Gothic UI"/>
        <family val="3"/>
        <charset val="128"/>
      </rPr>
      <t>（令和9年10月に入居した場合）</t>
    </r>
    <rPh sb="1" eb="3">
      <t>サンコウ</t>
    </rPh>
    <rPh sb="5" eb="9">
      <t>シハライソウガク</t>
    </rPh>
    <rPh sb="11" eb="13">
      <t>レイワ</t>
    </rPh>
    <rPh sb="14" eb="15">
      <t>ネン</t>
    </rPh>
    <rPh sb="17" eb="18">
      <t>ガツ</t>
    </rPh>
    <rPh sb="19" eb="21">
      <t>ニュウキョ</t>
    </rPh>
    <rPh sb="23" eb="25">
      <t>バアイ</t>
    </rPh>
    <phoneticPr fontId="4"/>
  </si>
  <si>
    <t>7人目</t>
    <rPh sb="1" eb="3">
      <t>ニンメ</t>
    </rPh>
    <phoneticPr fontId="4"/>
  </si>
  <si>
    <t>8人目</t>
    <rPh sb="1" eb="3">
      <t>ニンメ</t>
    </rPh>
    <phoneticPr fontId="4"/>
  </si>
  <si>
    <t>（竣工等の前）</t>
    <rPh sb="1" eb="3">
      <t>シュンコウ</t>
    </rPh>
    <rPh sb="3" eb="4">
      <t>トウ</t>
    </rPh>
    <rPh sb="5" eb="6">
      <t>マエ</t>
    </rPh>
    <phoneticPr fontId="4"/>
  </si>
  <si>
    <r>
      <t xml:space="preserve">年度
</t>
    </r>
    <r>
      <rPr>
        <b/>
        <sz val="10"/>
        <rFont val="Yu Gothic UI"/>
        <family val="3"/>
        <charset val="128"/>
      </rPr>
      <t>（令和9年度に竣工等の場合）</t>
    </r>
    <rPh sb="0" eb="2">
      <t>ネンド</t>
    </rPh>
    <rPh sb="4" eb="6">
      <t>レイワ</t>
    </rPh>
    <rPh sb="7" eb="9">
      <t>ネンド</t>
    </rPh>
    <rPh sb="10" eb="12">
      <t>シュンコウ</t>
    </rPh>
    <rPh sb="12" eb="13">
      <t>トウ</t>
    </rPh>
    <rPh sb="14" eb="16">
      <t>バアイ</t>
    </rPh>
    <phoneticPr fontId="4"/>
  </si>
  <si>
    <t>R30年度</t>
    <rPh sb="3" eb="5">
      <t>ネンド</t>
    </rPh>
    <phoneticPr fontId="4"/>
  </si>
  <si>
    <t>R31年度</t>
    <rPh sb="3" eb="5">
      <t>ネンド</t>
    </rPh>
    <phoneticPr fontId="4"/>
  </si>
  <si>
    <t>初年度から起算して17年度を経過した年度</t>
    <rPh sb="0" eb="3">
      <t>ショネンド</t>
    </rPh>
    <rPh sb="5" eb="7">
      <t>キサン</t>
    </rPh>
    <rPh sb="11" eb="13">
      <t>ネンド</t>
    </rPh>
    <rPh sb="14" eb="16">
      <t>ケイカ</t>
    </rPh>
    <rPh sb="18" eb="20">
      <t>ネンド</t>
    </rPh>
    <phoneticPr fontId="4"/>
  </si>
  <si>
    <t>初年度から起算して18年度を経過した年度</t>
    <rPh sb="0" eb="3">
      <t>ショネンド</t>
    </rPh>
    <rPh sb="5" eb="7">
      <t>キサン</t>
    </rPh>
    <rPh sb="11" eb="13">
      <t>ネンド</t>
    </rPh>
    <rPh sb="14" eb="16">
      <t>ケイカ</t>
    </rPh>
    <rPh sb="18" eb="20">
      <t>ネンド</t>
    </rPh>
    <phoneticPr fontId="4"/>
  </si>
  <si>
    <t>場所プルダウン</t>
    <rPh sb="0" eb="2">
      <t>バショ</t>
    </rPh>
    <phoneticPr fontId="4"/>
  </si>
  <si>
    <t>間取りプルダウン</t>
    <rPh sb="0" eb="2">
      <t>マド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</si>
</sst>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quot;円&quot;"/>
    <numFmt numFmtId="177" formatCode="#,##0;&quot;▲ &quot;#,##0"/>
    <numFmt numFmtId="178" formatCode="&quot;約&quot;#,##0&quot;万&quot;&quot;円&quot;"/>
    <numFmt numFmtId="179" formatCode="#,##0.0000;[Red]\-#,##0.0000"/>
    <numFmt numFmtId="180" formatCode="0&quot;年&quot;"/>
    <numFmt numFmtId="181" formatCode="0.00&quot;㎡/戸&quot;"/>
    <numFmt numFmtId="182" formatCode="#,##0&quot;千円&quot;"/>
    <numFmt numFmtId="183" formatCode="0.0&quot;㎡/戸&quot;"/>
    <numFmt numFmtId="184" formatCode="0&quot;㎡/戸&quot;"/>
    <numFmt numFmtId="185" formatCode="#,##0&quot;千円/戸&quot;"/>
    <numFmt numFmtId="186" formatCode="0.0"/>
    <numFmt numFmtId="187" formatCode="#,##0.0;[Red]\-#,##0.0"/>
    <numFmt numFmtId="188" formatCode="#,##0.000;[Red]\-#,##0.000"/>
    <numFmt numFmtId="189" formatCode="#,##0.00000;[Red]\-#,##0.00000"/>
    <numFmt numFmtId="190" formatCode="#,##0&quot;千円/㎡&quot;"/>
    <numFmt numFmtId="191" formatCode="#,##0&quot;㎡&quot;"/>
    <numFmt numFmtId="192" formatCode="0&quot;戸&quot;"/>
    <numFmt numFmtId="193" formatCode="#,##0&quot;㎡/戸&quot;"/>
    <numFmt numFmtId="194" formatCode="#,##0.0&quot;千円/㎡&quot;"/>
  </numFmts>
  <fonts count="69" x14ac:knownFonts="1">
    <font>
      <sz val="12"/>
      <name val="ＭＳ 明朝"/>
      <family val="1"/>
      <charset val="128"/>
    </font>
    <font>
      <sz val="11"/>
      <color theme="1"/>
      <name val="游ゴシック"/>
      <family val="2"/>
      <charset val="128"/>
      <scheme val="minor"/>
    </font>
    <font>
      <sz val="11"/>
      <color theme="1"/>
      <name val="游ゴシック"/>
      <family val="2"/>
      <charset val="128"/>
      <scheme val="minor"/>
    </font>
    <font>
      <b/>
      <sz val="10"/>
      <name val="ＭＳ Ｐゴシック"/>
      <family val="3"/>
      <charset val="128"/>
    </font>
    <font>
      <sz val="6"/>
      <name val="ＭＳ 明朝"/>
      <family val="1"/>
      <charset val="128"/>
    </font>
    <font>
      <sz val="10"/>
      <name val="ＭＳ Ｐゴシック"/>
      <family val="3"/>
      <charset val="128"/>
    </font>
    <font>
      <b/>
      <sz val="10"/>
      <color rgb="FF333333"/>
      <name val="ＭＳ Ｐゴシック"/>
      <family val="3"/>
      <charset val="128"/>
    </font>
    <font>
      <sz val="10"/>
      <color rgb="FF333333"/>
      <name val="ＭＳ Ｐゴシック"/>
      <family val="3"/>
      <charset val="128"/>
    </font>
    <font>
      <sz val="10"/>
      <color theme="0"/>
      <name val="ＭＳ Ｐゴシック"/>
      <family val="3"/>
      <charset val="128"/>
    </font>
    <font>
      <b/>
      <sz val="10"/>
      <color theme="0"/>
      <name val="ＭＳ Ｐゴシック"/>
      <family val="3"/>
      <charset val="128"/>
    </font>
    <font>
      <sz val="12"/>
      <name val="Yu Gothic UI"/>
      <family val="3"/>
      <charset val="128"/>
    </font>
    <font>
      <b/>
      <sz val="12"/>
      <name val="Yu Gothic UI"/>
      <family val="3"/>
      <charset val="128"/>
    </font>
    <font>
      <sz val="12"/>
      <name val="ＭＳ 明朝"/>
      <family val="1"/>
      <charset val="128"/>
    </font>
    <font>
      <b/>
      <sz val="12"/>
      <color rgb="FFC00000"/>
      <name val="Yu Gothic UI"/>
      <family val="3"/>
      <charset val="128"/>
    </font>
    <font>
      <b/>
      <sz val="12"/>
      <color rgb="FF0070C0"/>
      <name val="Yu Gothic UI"/>
      <family val="3"/>
      <charset val="128"/>
    </font>
    <font>
      <b/>
      <sz val="12"/>
      <color rgb="FFFF0000"/>
      <name val="Yu Gothic UI"/>
      <family val="3"/>
      <charset val="128"/>
    </font>
    <font>
      <sz val="12"/>
      <color rgb="FFC00000"/>
      <name val="Yu Gothic UI"/>
      <family val="3"/>
      <charset val="128"/>
    </font>
    <font>
      <u/>
      <sz val="12"/>
      <name val="Yu Gothic UI"/>
      <family val="3"/>
      <charset val="128"/>
    </font>
    <font>
      <b/>
      <u/>
      <sz val="12"/>
      <color rgb="FFC00000"/>
      <name val="Yu Gothic UI"/>
      <family val="3"/>
      <charset val="128"/>
    </font>
    <font>
      <sz val="10"/>
      <name val="Yu Gothic UI"/>
      <family val="3"/>
      <charset val="128"/>
    </font>
    <font>
      <b/>
      <sz val="12"/>
      <color theme="0"/>
      <name val="Yu Gothic UI"/>
      <family val="3"/>
      <charset val="128"/>
    </font>
    <font>
      <b/>
      <sz val="16"/>
      <color theme="8" tint="-0.499984740745262"/>
      <name val="Yu Gothic UI"/>
      <family val="3"/>
      <charset val="128"/>
    </font>
    <font>
      <sz val="8"/>
      <name val="Yu Gothic UI"/>
      <family val="3"/>
      <charset val="128"/>
    </font>
    <font>
      <b/>
      <sz val="14"/>
      <name val="Yu Gothic UI"/>
      <family val="3"/>
      <charset val="128"/>
    </font>
    <font>
      <sz val="14"/>
      <name val="Yu Gothic UI"/>
      <family val="3"/>
      <charset val="128"/>
    </font>
    <font>
      <sz val="11"/>
      <name val="Yu Gothic UI"/>
      <family val="3"/>
      <charset val="128"/>
    </font>
    <font>
      <b/>
      <sz val="11"/>
      <name val="Yu Gothic UI"/>
      <family val="3"/>
      <charset val="128"/>
    </font>
    <font>
      <b/>
      <sz val="18"/>
      <color theme="0"/>
      <name val="Yu Gothic UI"/>
      <family val="3"/>
      <charset val="128"/>
    </font>
    <font>
      <sz val="12"/>
      <color theme="0"/>
      <name val="Yu Gothic UI"/>
      <family val="3"/>
      <charset val="128"/>
    </font>
    <font>
      <b/>
      <sz val="14"/>
      <color theme="0"/>
      <name val="Yu Gothic UI"/>
      <family val="3"/>
      <charset val="128"/>
    </font>
    <font>
      <b/>
      <sz val="9"/>
      <name val="Yu Gothic UI"/>
      <family val="3"/>
      <charset val="128"/>
    </font>
    <font>
      <sz val="9"/>
      <name val="Yu Gothic UI"/>
      <family val="3"/>
      <charset val="128"/>
    </font>
    <font>
      <b/>
      <sz val="24"/>
      <name val="Yu Gothic UI"/>
      <family val="3"/>
      <charset val="128"/>
    </font>
    <font>
      <b/>
      <sz val="18"/>
      <name val="HGS創英角ｺﾞｼｯｸUB"/>
      <family val="3"/>
      <charset val="128"/>
    </font>
    <font>
      <b/>
      <sz val="9"/>
      <color rgb="FF000000"/>
      <name val="BIZ UDゴシック"/>
      <family val="3"/>
      <charset val="128"/>
    </font>
    <font>
      <sz val="9"/>
      <color rgb="FF000000"/>
      <name val="BIZ UDゴシック"/>
      <family val="3"/>
      <charset val="128"/>
    </font>
    <font>
      <sz val="9"/>
      <color rgb="FF0070C0"/>
      <name val="BIZ UDゴシック"/>
      <family val="3"/>
      <charset val="128"/>
    </font>
    <font>
      <b/>
      <sz val="9"/>
      <color rgb="FFC00000"/>
      <name val="BIZ UDゴシック"/>
      <family val="3"/>
      <charset val="128"/>
    </font>
    <font>
      <sz val="8"/>
      <name val="BIZ UDPゴシック"/>
      <family val="3"/>
      <charset val="128"/>
    </font>
    <font>
      <b/>
      <sz val="11"/>
      <color rgb="FFC00000"/>
      <name val="Yu Gothic UI"/>
      <family val="3"/>
      <charset val="128"/>
    </font>
    <font>
      <b/>
      <sz val="10"/>
      <color rgb="FFC00000"/>
      <name val="Yu Gothic UI"/>
      <family val="3"/>
      <charset val="128"/>
    </font>
    <font>
      <b/>
      <u val="double"/>
      <sz val="12"/>
      <name val="Yu Gothic UI"/>
      <family val="3"/>
      <charset val="128"/>
    </font>
    <font>
      <b/>
      <sz val="10"/>
      <name val="Yu Gothic UI"/>
      <family val="3"/>
      <charset val="128"/>
    </font>
    <font>
      <sz val="11"/>
      <color theme="1"/>
      <name val="游ゴシック"/>
      <family val="3"/>
      <charset val="128"/>
      <scheme val="minor"/>
    </font>
    <font>
      <sz val="6"/>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b/>
      <sz val="12"/>
      <color theme="0"/>
      <name val="游ゴシック"/>
      <family val="3"/>
      <charset val="128"/>
      <scheme val="minor"/>
    </font>
    <font>
      <b/>
      <sz val="12"/>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1"/>
      <color indexed="10"/>
      <name val="游ゴシック"/>
      <family val="3"/>
      <charset val="128"/>
      <scheme val="minor"/>
    </font>
    <font>
      <sz val="10"/>
      <color theme="1"/>
      <name val="游ゴシック"/>
      <family val="3"/>
      <charset val="128"/>
      <scheme val="minor"/>
    </font>
    <font>
      <sz val="11"/>
      <color rgb="FF000000"/>
      <name val="游ゴシック"/>
      <family val="3"/>
      <charset val="128"/>
      <scheme val="minor"/>
    </font>
    <font>
      <b/>
      <sz val="11"/>
      <color rgb="FF000000"/>
      <name val="游ゴシック"/>
      <family val="3"/>
      <charset val="128"/>
      <scheme val="minor"/>
    </font>
    <font>
      <b/>
      <sz val="10"/>
      <color theme="1"/>
      <name val="游ゴシック"/>
      <family val="3"/>
      <charset val="128"/>
      <scheme val="minor"/>
    </font>
    <font>
      <sz val="11"/>
      <name val="游ゴシック"/>
      <family val="3"/>
      <charset val="128"/>
      <scheme val="minor"/>
    </font>
    <font>
      <sz val="12"/>
      <name val="游ゴシック"/>
      <family val="3"/>
      <charset val="128"/>
      <scheme val="minor"/>
    </font>
    <font>
      <sz val="8"/>
      <color theme="1"/>
      <name val="游ゴシック"/>
      <family val="3"/>
      <charset val="128"/>
      <scheme val="minor"/>
    </font>
    <font>
      <b/>
      <sz val="11"/>
      <color rgb="FF3366FF"/>
      <name val="游ゴシック"/>
      <family val="3"/>
      <charset val="128"/>
      <scheme val="minor"/>
    </font>
    <font>
      <strike/>
      <sz val="9"/>
      <color theme="1"/>
      <name val="游ゴシック"/>
      <family val="3"/>
      <charset val="128"/>
      <scheme val="minor"/>
    </font>
    <font>
      <strike/>
      <sz val="9"/>
      <name val="游ゴシック"/>
      <family val="3"/>
      <charset val="128"/>
      <scheme val="minor"/>
    </font>
    <font>
      <b/>
      <sz val="11"/>
      <name val="游ゴシック"/>
      <family val="3"/>
      <charset val="128"/>
      <scheme val="minor"/>
    </font>
    <font>
      <b/>
      <sz val="10"/>
      <color rgb="FFFF0000"/>
      <name val="游ゴシック"/>
      <family val="3"/>
      <charset val="128"/>
      <scheme val="minor"/>
    </font>
    <font>
      <b/>
      <sz val="11"/>
      <color theme="4"/>
      <name val="游ゴシック"/>
      <family val="3"/>
      <charset val="128"/>
      <scheme val="minor"/>
    </font>
    <font>
      <b/>
      <sz val="10"/>
      <color rgb="FF3366FF"/>
      <name val="游ゴシック"/>
      <family val="3"/>
      <charset val="128"/>
      <scheme val="minor"/>
    </font>
    <font>
      <sz val="11"/>
      <color rgb="FFFF0000"/>
      <name val="游ゴシック"/>
      <family val="3"/>
      <charset val="128"/>
      <scheme val="minor"/>
    </font>
    <font>
      <b/>
      <sz val="10"/>
      <color theme="1"/>
      <name val="Yu Gothic UI"/>
      <family val="3"/>
      <charset val="128"/>
    </font>
    <font>
      <sz val="12"/>
      <color theme="1"/>
      <name val="Yu Gothic UI"/>
      <family val="3"/>
      <charset val="128"/>
    </font>
  </fonts>
  <fills count="29">
    <fill>
      <patternFill patternType="none"/>
    </fill>
    <fill>
      <patternFill patternType="gray125"/>
    </fill>
    <fill>
      <patternFill patternType="solid">
        <fgColor rgb="FFFFFFFF"/>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7" tint="-0.499984740745262"/>
        <bgColor indexed="64"/>
      </patternFill>
    </fill>
    <fill>
      <patternFill patternType="solid">
        <fgColor rgb="FFFFFFCC"/>
        <bgColor indexed="64"/>
      </patternFill>
    </fill>
    <fill>
      <patternFill patternType="solid">
        <fgColor theme="1"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00000"/>
        <bgColor indexed="64"/>
      </patternFill>
    </fill>
    <fill>
      <patternFill patternType="solid">
        <fgColor theme="1" tint="0.499984740745262"/>
        <bgColor indexed="64"/>
      </patternFill>
    </fill>
    <fill>
      <patternFill patternType="solid">
        <fgColor rgb="FFFFEFEF"/>
        <bgColor indexed="64"/>
      </patternFill>
    </fill>
    <fill>
      <patternFill patternType="solid">
        <fgColor rgb="FFF2F2F2"/>
        <bgColor rgb="FFF2F2F2"/>
      </patternFill>
    </fill>
    <fill>
      <patternFill patternType="solid">
        <fgColor theme="7"/>
        <bgColor indexed="64"/>
      </patternFill>
    </fill>
    <fill>
      <patternFill patternType="solid">
        <fgColor theme="0" tint="-4.9989318521683403E-2"/>
        <bgColor rgb="FFF2F2F2"/>
      </patternFill>
    </fill>
    <fill>
      <patternFill patternType="solid">
        <fgColor rgb="FFFAE2D6"/>
        <bgColor rgb="FFFAE2D6"/>
      </patternFill>
    </fill>
    <fill>
      <patternFill patternType="solid">
        <fgColor theme="0"/>
        <bgColor theme="0"/>
      </patternFill>
    </fill>
    <fill>
      <patternFill patternType="solid">
        <fgColor theme="9"/>
        <bgColor indexed="64"/>
      </patternFill>
    </fill>
    <fill>
      <patternFill patternType="solid">
        <fgColor theme="1" tint="0.499984740745262"/>
        <bgColor rgb="FFFFFF00"/>
      </patternFill>
    </fill>
  </fills>
  <borders count="7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hair">
        <color rgb="FF000000"/>
      </bottom>
      <diagonal/>
    </border>
    <border>
      <left style="thin">
        <color rgb="FF000000"/>
      </left>
      <right/>
      <top/>
      <bottom style="hair">
        <color rgb="FF000000"/>
      </bottom>
      <diagonal/>
    </border>
    <border>
      <left/>
      <right style="thin">
        <color rgb="FF000000"/>
      </right>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bottom/>
      <diagonal/>
    </border>
    <border>
      <left/>
      <right/>
      <top style="thin">
        <color rgb="FF000000"/>
      </top>
      <bottom style="thin">
        <color rgb="FF000000"/>
      </bottom>
      <diagonal/>
    </border>
    <border>
      <left/>
      <right/>
      <top style="thin">
        <color rgb="FF000000"/>
      </top>
      <bottom/>
      <diagonal/>
    </border>
    <border>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right/>
      <top/>
      <bottom style="hair">
        <color rgb="FF000000"/>
      </bottom>
      <diagonal/>
    </border>
    <border>
      <left/>
      <right/>
      <top style="thin">
        <color rgb="FF000000"/>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style="hair">
        <color rgb="FF000000"/>
      </top>
      <bottom/>
      <diagonal/>
    </border>
    <border>
      <left/>
      <right/>
      <top style="hair">
        <color rgb="FF000000"/>
      </top>
      <bottom/>
      <diagonal/>
    </border>
    <border>
      <left/>
      <right/>
      <top style="hair">
        <color rgb="FF000000"/>
      </top>
      <bottom style="thin">
        <color rgb="FF000000"/>
      </bottom>
      <diagonal/>
    </border>
    <border>
      <left/>
      <right style="hair">
        <color rgb="FF000000"/>
      </right>
      <top style="hair">
        <color rgb="FF000000"/>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bottom style="thin">
        <color rgb="FF000000"/>
      </bottom>
      <diagonal/>
    </border>
  </borders>
  <cellStyleXfs count="7">
    <xf numFmtId="0" fontId="0" fillId="0" borderId="0"/>
    <xf numFmtId="38" fontId="1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43" fillId="0" borderId="0"/>
    <xf numFmtId="0" fontId="1" fillId="0" borderId="0">
      <alignment vertical="center"/>
    </xf>
    <xf numFmtId="38" fontId="1" fillId="0" borderId="0" applyFont="0" applyFill="0" applyBorder="0" applyAlignment="0" applyProtection="0">
      <alignment vertical="center"/>
    </xf>
  </cellStyleXfs>
  <cellXfs count="401">
    <xf numFmtId="0" fontId="0" fillId="0" borderId="0" xfId="0"/>
    <xf numFmtId="0" fontId="3" fillId="0" borderId="0" xfId="0" applyFont="1" applyAlignment="1">
      <alignment vertical="center"/>
    </xf>
    <xf numFmtId="0" fontId="5" fillId="0" borderId="0" xfId="0" applyFont="1" applyAlignment="1">
      <alignment vertical="center"/>
    </xf>
    <xf numFmtId="0" fontId="5" fillId="0" borderId="1" xfId="0" applyFont="1" applyBorder="1" applyAlignment="1">
      <alignment vertical="center"/>
    </xf>
    <xf numFmtId="0" fontId="7" fillId="2" borderId="1" xfId="0" applyFont="1" applyFill="1" applyBorder="1" applyAlignment="1">
      <alignment vertical="center"/>
    </xf>
    <xf numFmtId="0" fontId="3" fillId="3" borderId="0" xfId="0" applyFont="1" applyFill="1" applyAlignment="1">
      <alignment vertical="center"/>
    </xf>
    <xf numFmtId="0" fontId="3" fillId="4" borderId="0" xfId="0" applyFont="1" applyFill="1" applyAlignment="1">
      <alignment vertical="center"/>
    </xf>
    <xf numFmtId="0" fontId="3" fillId="5" borderId="0" xfId="0" applyFont="1" applyFill="1" applyAlignment="1">
      <alignment vertical="center"/>
    </xf>
    <xf numFmtId="0" fontId="5" fillId="0" borderId="1"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6" fillId="6" borderId="1" xfId="0" applyFont="1" applyFill="1" applyBorder="1" applyAlignment="1">
      <alignment horizontal="centerContinuous" vertical="center"/>
    </xf>
    <xf numFmtId="0" fontId="6" fillId="6" borderId="2"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6" xfId="0" applyFont="1" applyFill="1" applyBorder="1" applyAlignment="1">
      <alignment horizontal="center" vertical="center"/>
    </xf>
    <xf numFmtId="0" fontId="5" fillId="7" borderId="0" xfId="0" applyFont="1" applyFill="1" applyAlignment="1">
      <alignment vertical="center"/>
    </xf>
    <xf numFmtId="0" fontId="5" fillId="5" borderId="0" xfId="0" applyFont="1" applyFill="1" applyAlignment="1">
      <alignment vertical="center"/>
    </xf>
    <xf numFmtId="0" fontId="5" fillId="4" borderId="0" xfId="0" applyFont="1" applyFill="1" applyAlignment="1">
      <alignment vertical="center"/>
    </xf>
    <xf numFmtId="0" fontId="5" fillId="3" borderId="0" xfId="0" applyFont="1" applyFill="1" applyAlignment="1">
      <alignment vertical="center"/>
    </xf>
    <xf numFmtId="0" fontId="8" fillId="7" borderId="0" xfId="0" applyFont="1" applyFill="1" applyAlignment="1">
      <alignment vertical="center"/>
    </xf>
    <xf numFmtId="0" fontId="9" fillId="7" borderId="0" xfId="0" applyFont="1" applyFill="1" applyAlignment="1">
      <alignment vertical="center"/>
    </xf>
    <xf numFmtId="0" fontId="8" fillId="9" borderId="1" xfId="0" applyFont="1" applyFill="1" applyBorder="1" applyAlignment="1">
      <alignment horizontal="center" vertical="center"/>
    </xf>
    <xf numFmtId="0" fontId="5" fillId="0" borderId="1" xfId="0" applyFont="1" applyBorder="1" applyAlignment="1">
      <alignment horizontal="center" vertical="center"/>
    </xf>
    <xf numFmtId="0" fontId="45" fillId="0" borderId="0" xfId="4" applyFont="1" applyAlignment="1">
      <alignment vertical="center"/>
    </xf>
    <xf numFmtId="38" fontId="45" fillId="0" borderId="0" xfId="6" applyFont="1" applyFill="1" applyBorder="1" applyAlignment="1">
      <alignment vertical="center"/>
    </xf>
    <xf numFmtId="0" fontId="46" fillId="0" borderId="0" xfId="4" applyFont="1" applyAlignment="1">
      <alignment vertical="center"/>
    </xf>
    <xf numFmtId="0" fontId="43" fillId="0" borderId="0" xfId="4" applyAlignment="1">
      <alignment vertical="center"/>
    </xf>
    <xf numFmtId="0" fontId="47" fillId="23" borderId="0" xfId="4" applyFont="1" applyFill="1" applyAlignment="1">
      <alignment vertical="center"/>
    </xf>
    <xf numFmtId="0" fontId="43" fillId="23" borderId="0" xfId="4" applyFill="1" applyAlignment="1">
      <alignment vertical="center"/>
    </xf>
    <xf numFmtId="0" fontId="49" fillId="0" borderId="0" xfId="4" applyFont="1" applyAlignment="1">
      <alignment vertical="center"/>
    </xf>
    <xf numFmtId="0" fontId="50" fillId="0" borderId="0" xfId="4" applyFont="1" applyAlignment="1">
      <alignment vertical="center"/>
    </xf>
    <xf numFmtId="0" fontId="50" fillId="11" borderId="1" xfId="4" applyFont="1" applyFill="1" applyBorder="1" applyAlignment="1">
      <alignment vertical="center"/>
    </xf>
    <xf numFmtId="0" fontId="43" fillId="22" borderId="36" xfId="4" applyFill="1" applyBorder="1" applyAlignment="1">
      <alignment vertical="center"/>
    </xf>
    <xf numFmtId="0" fontId="52" fillId="0" borderId="0" xfId="4" applyFont="1" applyAlignment="1">
      <alignment vertical="center"/>
    </xf>
    <xf numFmtId="0" fontId="45" fillId="22" borderId="32" xfId="4" applyFont="1" applyFill="1" applyBorder="1" applyAlignment="1">
      <alignment horizontal="left" vertical="center"/>
    </xf>
    <xf numFmtId="0" fontId="46" fillId="0" borderId="49" xfId="4" applyFont="1" applyBorder="1" applyAlignment="1">
      <alignment vertical="center"/>
    </xf>
    <xf numFmtId="0" fontId="43" fillId="22" borderId="33" xfId="4" applyFill="1" applyBorder="1" applyAlignment="1">
      <alignment vertical="center"/>
    </xf>
    <xf numFmtId="179" fontId="43" fillId="0" borderId="33" xfId="4" applyNumberFormat="1" applyBorder="1" applyAlignment="1">
      <alignment vertical="center"/>
    </xf>
    <xf numFmtId="0" fontId="43" fillId="0" borderId="0" xfId="4" applyAlignment="1">
      <alignment horizontal="left" vertical="center"/>
    </xf>
    <xf numFmtId="0" fontId="54" fillId="0" borderId="0" xfId="4" applyFont="1" applyAlignment="1">
      <alignment vertical="center"/>
    </xf>
    <xf numFmtId="0" fontId="55" fillId="22" borderId="34" xfId="4" applyFont="1" applyFill="1" applyBorder="1" applyAlignment="1">
      <alignment horizontal="center" vertical="center" shrinkToFit="1"/>
    </xf>
    <xf numFmtId="0" fontId="55" fillId="22" borderId="7" xfId="4" applyFont="1" applyFill="1" applyBorder="1" applyAlignment="1">
      <alignment vertical="center"/>
    </xf>
    <xf numFmtId="0" fontId="55" fillId="22" borderId="12" xfId="4" applyFont="1" applyFill="1" applyBorder="1" applyAlignment="1">
      <alignment vertical="center"/>
    </xf>
    <xf numFmtId="0" fontId="55" fillId="22" borderId="5" xfId="4" applyFont="1" applyFill="1" applyBorder="1" applyAlignment="1">
      <alignment vertical="center"/>
    </xf>
    <xf numFmtId="0" fontId="55" fillId="24" borderId="7" xfId="4" applyFont="1" applyFill="1" applyBorder="1" applyAlignment="1">
      <alignment vertical="center"/>
    </xf>
    <xf numFmtId="0" fontId="56" fillId="11" borderId="12" xfId="4" applyFont="1" applyFill="1" applyBorder="1" applyAlignment="1">
      <alignment vertical="center"/>
    </xf>
    <xf numFmtId="0" fontId="56" fillId="11" borderId="5" xfId="4" applyFont="1" applyFill="1" applyBorder="1" applyAlignment="1">
      <alignment vertical="center"/>
    </xf>
    <xf numFmtId="0" fontId="55" fillId="22" borderId="36" xfId="4" applyFont="1" applyFill="1" applyBorder="1" applyAlignment="1">
      <alignment horizontal="center" vertical="center" shrinkToFit="1"/>
    </xf>
    <xf numFmtId="180" fontId="55" fillId="22" borderId="36" xfId="4" applyNumberFormat="1" applyFont="1" applyFill="1" applyBorder="1" applyAlignment="1">
      <alignment horizontal="center" vertical="center"/>
    </xf>
    <xf numFmtId="0" fontId="52" fillId="0" borderId="0" xfId="4" applyFont="1" applyAlignment="1">
      <alignment horizontal="center" vertical="center"/>
    </xf>
    <xf numFmtId="0" fontId="52" fillId="25" borderId="0" xfId="4" applyFont="1" applyFill="1" applyAlignment="1">
      <alignment horizontal="center" vertical="center"/>
    </xf>
    <xf numFmtId="0" fontId="43" fillId="0" borderId="63" xfId="4" applyBorder="1" applyAlignment="1">
      <alignment horizontal="center" vertical="center"/>
    </xf>
    <xf numFmtId="0" fontId="52" fillId="0" borderId="41" xfId="4" applyFont="1" applyBorder="1" applyAlignment="1">
      <alignment horizontal="center" vertical="center" shrinkToFit="1"/>
    </xf>
    <xf numFmtId="38" fontId="43" fillId="0" borderId="39" xfId="4" applyNumberFormat="1" applyBorder="1" applyAlignment="1">
      <alignment vertical="center" shrinkToFit="1"/>
    </xf>
    <xf numFmtId="38" fontId="43" fillId="26" borderId="42" xfId="4" applyNumberFormat="1" applyFill="1" applyBorder="1" applyAlignment="1">
      <alignment vertical="center" shrinkToFit="1"/>
    </xf>
    <xf numFmtId="38" fontId="43" fillId="0" borderId="42" xfId="4" applyNumberFormat="1" applyBorder="1" applyAlignment="1">
      <alignment vertical="center" shrinkToFit="1"/>
    </xf>
    <xf numFmtId="38" fontId="43" fillId="25" borderId="0" xfId="4" applyNumberFormat="1" applyFill="1" applyAlignment="1">
      <alignment vertical="center"/>
    </xf>
    <xf numFmtId="0" fontId="43" fillId="25" borderId="0" xfId="4" applyFill="1" applyAlignment="1">
      <alignment vertical="center"/>
    </xf>
    <xf numFmtId="0" fontId="43" fillId="0" borderId="64" xfId="4" applyBorder="1" applyAlignment="1">
      <alignment horizontal="center" vertical="center"/>
    </xf>
    <xf numFmtId="0" fontId="52" fillId="0" borderId="45" xfId="4" applyFont="1" applyBorder="1" applyAlignment="1">
      <alignment horizontal="center" vertical="center" shrinkToFit="1"/>
    </xf>
    <xf numFmtId="38" fontId="43" fillId="0" borderId="43" xfId="4" applyNumberFormat="1" applyBorder="1" applyAlignment="1">
      <alignment vertical="center" shrinkToFit="1"/>
    </xf>
    <xf numFmtId="38" fontId="43" fillId="26" borderId="39" xfId="4" applyNumberFormat="1" applyFill="1" applyBorder="1" applyAlignment="1">
      <alignment vertical="center" shrinkToFit="1"/>
    </xf>
    <xf numFmtId="38" fontId="45" fillId="0" borderId="39" xfId="4" applyNumberFormat="1" applyFont="1" applyBorder="1" applyAlignment="1">
      <alignment vertical="center" shrinkToFit="1"/>
    </xf>
    <xf numFmtId="0" fontId="52" fillId="26" borderId="45" xfId="4" applyFont="1" applyFill="1" applyBorder="1" applyAlignment="1">
      <alignment horizontal="center" vertical="center" shrinkToFit="1"/>
    </xf>
    <xf numFmtId="38" fontId="43" fillId="26" borderId="43" xfId="4" applyNumberFormat="1" applyFill="1" applyBorder="1" applyAlignment="1">
      <alignment vertical="center" shrinkToFit="1"/>
    </xf>
    <xf numFmtId="0" fontId="43" fillId="0" borderId="65" xfId="4" applyBorder="1" applyAlignment="1">
      <alignment horizontal="center" vertical="center"/>
    </xf>
    <xf numFmtId="0" fontId="52" fillId="26" borderId="48" xfId="4" applyFont="1" applyFill="1" applyBorder="1" applyAlignment="1">
      <alignment horizontal="center" vertical="center" shrinkToFit="1"/>
    </xf>
    <xf numFmtId="38" fontId="43" fillId="26" borderId="46" xfId="4" applyNumberFormat="1" applyFill="1" applyBorder="1" applyAlignment="1">
      <alignment vertical="center" shrinkToFit="1"/>
    </xf>
    <xf numFmtId="38" fontId="43" fillId="0" borderId="36" xfId="4" applyNumberFormat="1" applyBorder="1" applyAlignment="1">
      <alignment vertical="center" shrinkToFit="1"/>
    </xf>
    <xf numFmtId="38" fontId="43" fillId="26" borderId="36" xfId="4" applyNumberFormat="1" applyFill="1" applyBorder="1" applyAlignment="1">
      <alignment vertical="center" shrinkToFit="1"/>
    </xf>
    <xf numFmtId="0" fontId="43" fillId="0" borderId="0" xfId="4" applyAlignment="1">
      <alignment horizontal="center" vertical="center"/>
    </xf>
    <xf numFmtId="0" fontId="52" fillId="0" borderId="0" xfId="4" applyFont="1" applyAlignment="1">
      <alignment horizontal="center" vertical="center" shrinkToFit="1"/>
    </xf>
    <xf numFmtId="0" fontId="56" fillId="0" borderId="0" xfId="4" applyFont="1" applyAlignment="1">
      <alignment vertical="center"/>
    </xf>
    <xf numFmtId="38" fontId="43" fillId="0" borderId="0" xfId="4" applyNumberFormat="1" applyAlignment="1">
      <alignment vertical="center" shrinkToFit="1"/>
    </xf>
    <xf numFmtId="38" fontId="43" fillId="0" borderId="0" xfId="4" applyNumberFormat="1" applyAlignment="1">
      <alignment vertical="center"/>
    </xf>
    <xf numFmtId="0" fontId="43" fillId="22" borderId="32" xfId="4" applyFill="1" applyBorder="1" applyAlignment="1">
      <alignment horizontal="left" vertical="center" shrinkToFit="1"/>
    </xf>
    <xf numFmtId="40" fontId="43" fillId="0" borderId="33" xfId="4" applyNumberFormat="1" applyBorder="1" applyAlignment="1">
      <alignment vertical="center" shrinkToFit="1"/>
    </xf>
    <xf numFmtId="40" fontId="46" fillId="0" borderId="33" xfId="4" applyNumberFormat="1" applyFont="1" applyBorder="1" applyAlignment="1">
      <alignment vertical="center" shrinkToFit="1"/>
    </xf>
    <xf numFmtId="0" fontId="43" fillId="22" borderId="32" xfId="4" applyFill="1" applyBorder="1" applyAlignment="1">
      <alignment horizontal="left" vertical="center"/>
    </xf>
    <xf numFmtId="179" fontId="46" fillId="0" borderId="33" xfId="4" applyNumberFormat="1" applyFont="1" applyBorder="1" applyAlignment="1">
      <alignment vertical="center"/>
    </xf>
    <xf numFmtId="0" fontId="47" fillId="27" borderId="0" xfId="4" applyFont="1" applyFill="1" applyAlignment="1">
      <alignment vertical="center"/>
    </xf>
    <xf numFmtId="0" fontId="43" fillId="27" borderId="0" xfId="4" applyFill="1" applyAlignment="1">
      <alignment vertical="center"/>
    </xf>
    <xf numFmtId="0" fontId="58" fillId="0" borderId="0" xfId="4" applyFont="1" applyAlignment="1">
      <alignment horizontal="left" vertical="center" shrinkToFit="1"/>
    </xf>
    <xf numFmtId="181" fontId="43" fillId="20" borderId="33" xfId="4" applyNumberFormat="1" applyFill="1" applyBorder="1" applyAlignment="1">
      <alignment vertical="center" shrinkToFit="1"/>
    </xf>
    <xf numFmtId="0" fontId="46" fillId="0" borderId="0" xfId="4" applyFont="1" applyAlignment="1">
      <alignment vertical="center" shrinkToFit="1"/>
    </xf>
    <xf numFmtId="182" fontId="43" fillId="28" borderId="33" xfId="4" applyNumberFormat="1" applyFill="1" applyBorder="1" applyAlignment="1">
      <alignment vertical="center" shrinkToFit="1"/>
    </xf>
    <xf numFmtId="181" fontId="43" fillId="28" borderId="33" xfId="4" applyNumberFormat="1" applyFill="1" applyBorder="1" applyAlignment="1">
      <alignment vertical="center" shrinkToFit="1"/>
    </xf>
    <xf numFmtId="183" fontId="52" fillId="0" borderId="0" xfId="4" applyNumberFormat="1" applyFont="1" applyAlignment="1">
      <alignment vertical="center"/>
    </xf>
    <xf numFmtId="184" fontId="52" fillId="20" borderId="0" xfId="4" applyNumberFormat="1" applyFont="1" applyFill="1" applyAlignment="1">
      <alignment vertical="center" shrinkToFit="1"/>
    </xf>
    <xf numFmtId="185" fontId="43" fillId="20" borderId="33" xfId="4" applyNumberFormat="1" applyFill="1" applyBorder="1" applyAlignment="1">
      <alignment vertical="center" shrinkToFit="1"/>
    </xf>
    <xf numFmtId="0" fontId="43" fillId="0" borderId="0" xfId="5" applyFont="1" applyAlignment="1">
      <alignment horizontal="center" vertical="center"/>
    </xf>
    <xf numFmtId="177" fontId="62" fillId="0" borderId="0" xfId="4" applyNumberFormat="1" applyFont="1" applyAlignment="1">
      <alignment vertical="center"/>
    </xf>
    <xf numFmtId="185" fontId="43" fillId="28" borderId="33" xfId="4" applyNumberFormat="1" applyFill="1" applyBorder="1" applyAlignment="1">
      <alignment vertical="center" shrinkToFit="1"/>
    </xf>
    <xf numFmtId="3" fontId="43" fillId="0" borderId="0" xfId="5" applyNumberFormat="1" applyFont="1" applyAlignment="1">
      <alignment vertical="center" shrinkToFit="1"/>
    </xf>
    <xf numFmtId="0" fontId="52" fillId="0" borderId="0" xfId="4" applyFont="1" applyAlignment="1">
      <alignment vertical="center" shrinkToFit="1"/>
    </xf>
    <xf numFmtId="0" fontId="63" fillId="0" borderId="0" xfId="4" applyFont="1" applyAlignment="1">
      <alignment vertical="center"/>
    </xf>
    <xf numFmtId="0" fontId="43" fillId="22" borderId="33" xfId="4" applyFill="1" applyBorder="1" applyAlignment="1">
      <alignment vertical="center" shrinkToFit="1"/>
    </xf>
    <xf numFmtId="186" fontId="52" fillId="0" borderId="49" xfId="4" applyNumberFormat="1" applyFont="1" applyBorder="1" applyAlignment="1">
      <alignment horizontal="right" vertical="center"/>
    </xf>
    <xf numFmtId="187" fontId="53" fillId="0" borderId="33" xfId="4" applyNumberFormat="1" applyFont="1" applyBorder="1" applyAlignment="1">
      <alignment vertical="center"/>
    </xf>
    <xf numFmtId="187" fontId="43" fillId="0" borderId="33" xfId="4" applyNumberFormat="1" applyBorder="1" applyAlignment="1">
      <alignment vertical="center" shrinkToFit="1"/>
    </xf>
    <xf numFmtId="188" fontId="43" fillId="0" borderId="33" xfId="4" applyNumberFormat="1" applyBorder="1" applyAlignment="1">
      <alignment vertical="center" shrinkToFit="1"/>
    </xf>
    <xf numFmtId="179" fontId="43" fillId="0" borderId="33" xfId="4" applyNumberFormat="1" applyBorder="1" applyAlignment="1">
      <alignment vertical="center" shrinkToFit="1"/>
    </xf>
    <xf numFmtId="189" fontId="43" fillId="0" borderId="33" xfId="4" applyNumberFormat="1" applyBorder="1" applyAlignment="1">
      <alignment vertical="center" shrinkToFit="1"/>
    </xf>
    <xf numFmtId="190" fontId="43" fillId="0" borderId="33" xfId="4" applyNumberFormat="1" applyBorder="1" applyAlignment="1">
      <alignment vertical="center" shrinkToFit="1"/>
    </xf>
    <xf numFmtId="0" fontId="43" fillId="0" borderId="0" xfId="4" applyAlignment="1">
      <alignment vertical="center" shrinkToFit="1"/>
    </xf>
    <xf numFmtId="180" fontId="43" fillId="0" borderId="33" xfId="4" applyNumberFormat="1" applyBorder="1" applyAlignment="1">
      <alignment vertical="center" shrinkToFit="1"/>
    </xf>
    <xf numFmtId="185" fontId="43" fillId="0" borderId="33" xfId="4" applyNumberFormat="1" applyBorder="1" applyAlignment="1">
      <alignment vertical="center" shrinkToFit="1"/>
    </xf>
    <xf numFmtId="0" fontId="50" fillId="0" borderId="0" xfId="4" applyFont="1" applyAlignment="1">
      <alignment vertical="center" shrinkToFit="1"/>
    </xf>
    <xf numFmtId="0" fontId="43" fillId="0" borderId="33" xfId="4" applyBorder="1" applyAlignment="1">
      <alignment vertical="center" shrinkToFit="1"/>
    </xf>
    <xf numFmtId="0" fontId="52" fillId="0" borderId="32" xfId="4" applyFont="1" applyBorder="1" applyAlignment="1">
      <alignment horizontal="left" vertical="center"/>
    </xf>
    <xf numFmtId="0" fontId="52" fillId="0" borderId="50" xfId="4" applyFont="1" applyBorder="1" applyAlignment="1">
      <alignment vertical="center"/>
    </xf>
    <xf numFmtId="0" fontId="52" fillId="0" borderId="52" xfId="4" applyFont="1" applyBorder="1" applyAlignment="1">
      <alignment horizontal="center" vertical="center"/>
    </xf>
    <xf numFmtId="0" fontId="52" fillId="0" borderId="53" xfId="4" applyFont="1" applyBorder="1" applyAlignment="1">
      <alignment horizontal="center" vertical="center"/>
    </xf>
    <xf numFmtId="0" fontId="52" fillId="0" borderId="40" xfId="4" applyFont="1" applyBorder="1" applyAlignment="1">
      <alignment horizontal="left" vertical="center"/>
    </xf>
    <xf numFmtId="0" fontId="52" fillId="0" borderId="54" xfId="4" applyFont="1" applyBorder="1" applyAlignment="1">
      <alignment vertical="center"/>
    </xf>
    <xf numFmtId="38" fontId="58" fillId="0" borderId="56" xfId="4" applyNumberFormat="1" applyFont="1" applyBorder="1" applyAlignment="1">
      <alignment vertical="center" shrinkToFit="1"/>
    </xf>
    <xf numFmtId="0" fontId="52" fillId="0" borderId="44" xfId="4" applyFont="1" applyBorder="1" applyAlignment="1">
      <alignment horizontal="left" vertical="center" shrinkToFit="1"/>
    </xf>
    <xf numFmtId="0" fontId="52" fillId="0" borderId="57" xfId="4" applyFont="1" applyBorder="1" applyAlignment="1">
      <alignment vertical="center"/>
    </xf>
    <xf numFmtId="38" fontId="52" fillId="0" borderId="58" xfId="4" applyNumberFormat="1" applyFont="1" applyBorder="1" applyAlignment="1">
      <alignment vertical="center" shrinkToFit="1"/>
    </xf>
    <xf numFmtId="0" fontId="52" fillId="0" borderId="44" xfId="4" applyFont="1" applyBorder="1" applyAlignment="1">
      <alignment horizontal="left" vertical="center"/>
    </xf>
    <xf numFmtId="0" fontId="52" fillId="0" borderId="59" xfId="4" applyFont="1" applyBorder="1" applyAlignment="1">
      <alignment horizontal="left" vertical="center" shrinkToFit="1"/>
    </xf>
    <xf numFmtId="0" fontId="52" fillId="0" borderId="60" xfId="4" applyFont="1" applyBorder="1" applyAlignment="1">
      <alignment vertical="center"/>
    </xf>
    <xf numFmtId="38" fontId="52" fillId="0" borderId="62" xfId="4" applyNumberFormat="1" applyFont="1" applyBorder="1" applyAlignment="1">
      <alignment vertical="center" shrinkToFit="1"/>
    </xf>
    <xf numFmtId="0" fontId="49" fillId="18" borderId="32" xfId="4" applyFont="1" applyFill="1" applyBorder="1" applyAlignment="1">
      <alignment horizontal="left" vertical="center" shrinkToFit="1"/>
    </xf>
    <xf numFmtId="0" fontId="55" fillId="0" borderId="50" xfId="4" applyFont="1" applyBorder="1" applyAlignment="1">
      <alignment vertical="center"/>
    </xf>
    <xf numFmtId="38" fontId="55" fillId="0" borderId="52" xfId="4" applyNumberFormat="1" applyFont="1" applyBorder="1" applyAlignment="1">
      <alignment vertical="center" shrinkToFit="1"/>
    </xf>
    <xf numFmtId="38" fontId="55" fillId="0" borderId="53" xfId="4" applyNumberFormat="1" applyFont="1" applyBorder="1" applyAlignment="1">
      <alignment vertical="center" shrinkToFit="1"/>
    </xf>
    <xf numFmtId="0" fontId="48" fillId="0" borderId="0" xfId="0" applyFont="1" applyAlignment="1">
      <alignment vertical="center"/>
    </xf>
    <xf numFmtId="0" fontId="57" fillId="11" borderId="1" xfId="0" applyFont="1" applyFill="1" applyBorder="1" applyAlignment="1">
      <alignment vertical="center"/>
    </xf>
    <xf numFmtId="0" fontId="43" fillId="0" borderId="0" xfId="5" applyFont="1">
      <alignment vertical="center"/>
    </xf>
    <xf numFmtId="191" fontId="43" fillId="0" borderId="33" xfId="4" applyNumberFormat="1" applyBorder="1" applyAlignment="1">
      <alignment vertical="center" shrinkToFit="1"/>
    </xf>
    <xf numFmtId="192" fontId="43" fillId="0" borderId="33" xfId="4" applyNumberFormat="1" applyBorder="1" applyAlignment="1">
      <alignment vertical="center" shrinkToFit="1"/>
    </xf>
    <xf numFmtId="193" fontId="43" fillId="0" borderId="33" xfId="4" applyNumberFormat="1" applyBorder="1" applyAlignment="1">
      <alignment vertical="center" shrinkToFit="1"/>
    </xf>
    <xf numFmtId="194" fontId="43" fillId="0" borderId="33" xfId="4" applyNumberFormat="1" applyBorder="1" applyAlignment="1">
      <alignment vertical="center" shrinkToFit="1"/>
    </xf>
    <xf numFmtId="0" fontId="43" fillId="11" borderId="1" xfId="4" applyFill="1" applyBorder="1" applyAlignment="1">
      <alignment vertical="center"/>
    </xf>
    <xf numFmtId="0" fontId="43" fillId="11" borderId="1" xfId="4" applyFill="1" applyBorder="1" applyAlignment="1">
      <alignment vertical="center" wrapText="1"/>
    </xf>
    <xf numFmtId="0" fontId="43" fillId="11" borderId="1" xfId="4" applyFill="1" applyBorder="1" applyAlignment="1">
      <alignment vertical="center" shrinkToFit="1"/>
    </xf>
    <xf numFmtId="38" fontId="52" fillId="0" borderId="66" xfId="4" applyNumberFormat="1" applyFont="1" applyBorder="1" applyAlignment="1">
      <alignment vertical="center" shrinkToFit="1"/>
    </xf>
    <xf numFmtId="0" fontId="52" fillId="0" borderId="67" xfId="4" applyFont="1" applyBorder="1" applyAlignment="1">
      <alignment horizontal="left" vertical="center" shrinkToFit="1"/>
    </xf>
    <xf numFmtId="0" fontId="52" fillId="0" borderId="68" xfId="4" applyFont="1" applyBorder="1" applyAlignment="1">
      <alignment vertical="center"/>
    </xf>
    <xf numFmtId="0" fontId="43" fillId="0" borderId="76" xfId="4" applyBorder="1" applyAlignment="1">
      <alignment vertical="center"/>
    </xf>
    <xf numFmtId="181" fontId="51" fillId="0" borderId="76" xfId="4" applyNumberFormat="1" applyFont="1" applyBorder="1" applyAlignment="1">
      <alignment vertical="center"/>
    </xf>
    <xf numFmtId="0" fontId="45" fillId="0" borderId="0" xfId="4" applyFont="1" applyAlignment="1">
      <alignment horizontal="left" vertical="center"/>
    </xf>
    <xf numFmtId="0" fontId="57" fillId="17" borderId="1" xfId="0" applyFont="1" applyFill="1" applyBorder="1" applyAlignment="1">
      <alignment vertical="center"/>
    </xf>
    <xf numFmtId="0" fontId="57" fillId="0" borderId="1" xfId="4" applyFont="1" applyBorder="1" applyAlignment="1">
      <alignment horizontal="center" vertical="center"/>
    </xf>
    <xf numFmtId="181" fontId="56" fillId="0" borderId="36" xfId="4" applyNumberFormat="1" applyFont="1" applyBorder="1" applyAlignment="1">
      <alignment vertical="center"/>
    </xf>
    <xf numFmtId="2" fontId="62" fillId="0" borderId="33" xfId="4" applyNumberFormat="1" applyFont="1" applyBorder="1" applyAlignment="1">
      <alignment vertical="center"/>
    </xf>
    <xf numFmtId="0" fontId="62" fillId="0" borderId="33" xfId="4" applyFont="1" applyBorder="1" applyAlignment="1">
      <alignment vertical="center"/>
    </xf>
    <xf numFmtId="179" fontId="62" fillId="0" borderId="33" xfId="4" applyNumberFormat="1" applyFont="1" applyBorder="1" applyAlignment="1">
      <alignment vertical="center"/>
    </xf>
    <xf numFmtId="38" fontId="43" fillId="17" borderId="1" xfId="1" applyFont="1" applyFill="1" applyBorder="1" applyAlignment="1">
      <alignment vertical="center"/>
    </xf>
    <xf numFmtId="0" fontId="43" fillId="17" borderId="1" xfId="4" applyFill="1" applyBorder="1" applyAlignment="1">
      <alignment vertical="center"/>
    </xf>
    <xf numFmtId="38" fontId="43" fillId="17" borderId="1" xfId="1" applyFont="1" applyFill="1" applyBorder="1" applyAlignment="1">
      <alignment vertical="center" shrinkToFit="1"/>
    </xf>
    <xf numFmtId="0" fontId="43" fillId="17" borderId="1" xfId="4" applyFill="1" applyBorder="1" applyAlignment="1">
      <alignment vertical="center" shrinkToFit="1"/>
    </xf>
    <xf numFmtId="2" fontId="66" fillId="17" borderId="1" xfId="4" applyNumberFormat="1" applyFont="1" applyFill="1" applyBorder="1" applyAlignment="1">
      <alignment vertical="center"/>
    </xf>
    <xf numFmtId="38" fontId="66" fillId="17" borderId="1" xfId="1" applyFont="1" applyFill="1" applyBorder="1" applyAlignment="1">
      <alignment vertical="center"/>
    </xf>
    <xf numFmtId="38" fontId="11" fillId="8" borderId="5" xfId="1" applyFont="1" applyFill="1" applyBorder="1" applyAlignment="1" applyProtection="1">
      <alignment vertical="center" wrapText="1"/>
      <protection locked="0"/>
    </xf>
    <xf numFmtId="0" fontId="10" fillId="10" borderId="0" xfId="0" applyFont="1" applyFill="1" applyAlignment="1">
      <alignment vertical="center" wrapText="1"/>
    </xf>
    <xf numFmtId="0" fontId="10" fillId="10" borderId="31" xfId="0" applyFont="1" applyFill="1" applyBorder="1" applyAlignment="1">
      <alignment vertical="center" wrapText="1"/>
    </xf>
    <xf numFmtId="0" fontId="10" fillId="13" borderId="0" xfId="0" applyFont="1" applyFill="1" applyAlignment="1">
      <alignment vertical="center" wrapText="1"/>
    </xf>
    <xf numFmtId="0" fontId="10" fillId="20" borderId="0" xfId="0" applyFont="1" applyFill="1" applyAlignment="1">
      <alignment vertical="center" wrapText="1"/>
    </xf>
    <xf numFmtId="0" fontId="32" fillId="10" borderId="31" xfId="0" applyFont="1" applyFill="1" applyBorder="1" applyAlignment="1">
      <alignment vertical="center"/>
    </xf>
    <xf numFmtId="0" fontId="21" fillId="13" borderId="0" xfId="0" applyFont="1" applyFill="1" applyAlignment="1">
      <alignment vertical="center"/>
    </xf>
    <xf numFmtId="0" fontId="15" fillId="13" borderId="0" xfId="0" applyFont="1" applyFill="1" applyAlignment="1">
      <alignment vertical="center"/>
    </xf>
    <xf numFmtId="0" fontId="32" fillId="10" borderId="0" xfId="0" applyFont="1" applyFill="1" applyAlignment="1">
      <alignment vertical="center"/>
    </xf>
    <xf numFmtId="0" fontId="11" fillId="10" borderId="0" xfId="0" applyFont="1" applyFill="1" applyAlignment="1">
      <alignment vertical="center"/>
    </xf>
    <xf numFmtId="0" fontId="25" fillId="10" borderId="0" xfId="0" applyFont="1" applyFill="1" applyAlignment="1">
      <alignment vertical="center" wrapText="1"/>
    </xf>
    <xf numFmtId="0" fontId="13" fillId="10" borderId="0" xfId="0" applyFont="1" applyFill="1" applyAlignment="1">
      <alignment vertical="center"/>
    </xf>
    <xf numFmtId="0" fontId="13" fillId="10" borderId="31" xfId="0" applyFont="1" applyFill="1" applyBorder="1" applyAlignment="1">
      <alignment vertical="center"/>
    </xf>
    <xf numFmtId="0" fontId="25" fillId="10" borderId="31" xfId="0" applyFont="1" applyFill="1" applyBorder="1" applyAlignment="1">
      <alignment vertical="center" wrapText="1"/>
    </xf>
    <xf numFmtId="0" fontId="26" fillId="10" borderId="0" xfId="0" applyFont="1" applyFill="1" applyAlignment="1">
      <alignment vertical="center"/>
    </xf>
    <xf numFmtId="0" fontId="27" fillId="14" borderId="14" xfId="0" applyFont="1" applyFill="1" applyBorder="1" applyAlignment="1">
      <alignment vertical="center"/>
    </xf>
    <xf numFmtId="0" fontId="28" fillId="14" borderId="15" xfId="0" applyFont="1" applyFill="1" applyBorder="1" applyAlignment="1">
      <alignment vertical="center" wrapText="1"/>
    </xf>
    <xf numFmtId="0" fontId="28" fillId="14" borderId="2" xfId="0" applyFont="1" applyFill="1" applyBorder="1" applyAlignment="1">
      <alignment vertical="center" wrapText="1"/>
    </xf>
    <xf numFmtId="0" fontId="10" fillId="10" borderId="10" xfId="0" applyFont="1" applyFill="1" applyBorder="1" applyAlignment="1">
      <alignment vertical="center" wrapText="1"/>
    </xf>
    <xf numFmtId="0" fontId="10" fillId="10" borderId="0" xfId="0" applyFont="1" applyFill="1" applyAlignment="1">
      <alignment vertical="center"/>
    </xf>
    <xf numFmtId="0" fontId="10" fillId="10" borderId="11" xfId="0" applyFont="1" applyFill="1" applyBorder="1" applyAlignment="1">
      <alignment vertical="center" wrapText="1"/>
    </xf>
    <xf numFmtId="0" fontId="30" fillId="8" borderId="1" xfId="0" applyFont="1" applyFill="1" applyBorder="1" applyAlignment="1">
      <alignment horizontal="center" vertical="center"/>
    </xf>
    <xf numFmtId="0" fontId="31" fillId="10" borderId="0" xfId="0" applyFont="1" applyFill="1" applyAlignment="1">
      <alignment horizontal="left" vertical="center"/>
    </xf>
    <xf numFmtId="0" fontId="31" fillId="10" borderId="0" xfId="0" applyFont="1" applyFill="1" applyAlignment="1">
      <alignment vertical="center" wrapText="1"/>
    </xf>
    <xf numFmtId="0" fontId="30" fillId="4" borderId="1" xfId="0" applyFont="1" applyFill="1" applyBorder="1" applyAlignment="1">
      <alignment horizontal="center" vertical="center"/>
    </xf>
    <xf numFmtId="0" fontId="10" fillId="13" borderId="0" xfId="0" applyFont="1" applyFill="1" applyAlignment="1">
      <alignment vertical="center" shrinkToFit="1"/>
    </xf>
    <xf numFmtId="0" fontId="11" fillId="12" borderId="6" xfId="0" applyFont="1" applyFill="1" applyBorder="1" applyAlignment="1">
      <alignment horizontal="center" vertical="center" wrapText="1"/>
    </xf>
    <xf numFmtId="0" fontId="10" fillId="10" borderId="15" xfId="0" applyFont="1" applyFill="1" applyBorder="1" applyAlignment="1">
      <alignment vertical="center" wrapText="1"/>
    </xf>
    <xf numFmtId="0" fontId="11" fillId="12" borderId="7" xfId="0" applyFont="1" applyFill="1" applyBorder="1" applyAlignment="1">
      <alignment horizontal="centerContinuous" vertical="center" wrapText="1"/>
    </xf>
    <xf numFmtId="0" fontId="10" fillId="12" borderId="5" xfId="0" applyFont="1" applyFill="1" applyBorder="1" applyAlignment="1">
      <alignment horizontal="centerContinuous" vertical="center" wrapText="1"/>
    </xf>
    <xf numFmtId="0" fontId="11" fillId="12" borderId="12" xfId="0" applyFont="1" applyFill="1" applyBorder="1" applyAlignment="1">
      <alignment horizontal="centerContinuous" vertical="center" wrapText="1"/>
    </xf>
    <xf numFmtId="0" fontId="11" fillId="12" borderId="5" xfId="0" applyFont="1" applyFill="1" applyBorder="1" applyAlignment="1">
      <alignment horizontal="centerContinuous" vertical="center" wrapText="1"/>
    </xf>
    <xf numFmtId="0" fontId="10" fillId="12" borderId="12" xfId="0" applyFont="1" applyFill="1" applyBorder="1" applyAlignment="1">
      <alignment horizontal="centerContinuous" vertical="center" wrapText="1"/>
    </xf>
    <xf numFmtId="0" fontId="10" fillId="13" borderId="15" xfId="0" applyFont="1" applyFill="1" applyBorder="1" applyAlignment="1">
      <alignment vertical="center" wrapText="1"/>
    </xf>
    <xf numFmtId="0" fontId="10" fillId="6" borderId="7" xfId="0" applyFont="1" applyFill="1" applyBorder="1" applyAlignment="1">
      <alignment horizontal="centerContinuous" vertical="center" wrapText="1"/>
    </xf>
    <xf numFmtId="0" fontId="10" fillId="6" borderId="12" xfId="0" applyFont="1" applyFill="1" applyBorder="1" applyAlignment="1">
      <alignment horizontal="centerContinuous" vertical="center" wrapText="1"/>
    </xf>
    <xf numFmtId="0" fontId="10" fillId="6" borderId="5" xfId="0" applyFont="1" applyFill="1" applyBorder="1" applyAlignment="1">
      <alignment horizontal="centerContinuous" vertical="center" wrapText="1"/>
    </xf>
    <xf numFmtId="0" fontId="10" fillId="6" borderId="7" xfId="0" applyFont="1" applyFill="1" applyBorder="1" applyAlignment="1">
      <alignment horizontal="centerContinuous" vertical="center"/>
    </xf>
    <xf numFmtId="0" fontId="10" fillId="6" borderId="5" xfId="0" applyFont="1" applyFill="1" applyBorder="1" applyAlignment="1">
      <alignment horizontal="centerContinuous" vertical="center"/>
    </xf>
    <xf numFmtId="0" fontId="10" fillId="6" borderId="1" xfId="0" applyFont="1" applyFill="1" applyBorder="1" applyAlignment="1">
      <alignment horizontal="centerContinuous" vertical="center"/>
    </xf>
    <xf numFmtId="0" fontId="10" fillId="12" borderId="6" xfId="0" applyFont="1" applyFill="1" applyBorder="1" applyAlignment="1">
      <alignment horizontal="centerContinuous" vertical="center" wrapText="1"/>
    </xf>
    <xf numFmtId="0" fontId="10" fillId="12" borderId="2" xfId="0" applyFont="1" applyFill="1" applyBorder="1" applyAlignment="1">
      <alignment horizontal="centerContinuous" vertical="center" wrapText="1"/>
    </xf>
    <xf numFmtId="0" fontId="10" fillId="13" borderId="13" xfId="0" applyFont="1" applyFill="1" applyBorder="1" applyAlignment="1">
      <alignment vertical="center" wrapText="1"/>
    </xf>
    <xf numFmtId="0" fontId="10" fillId="6"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0" fillId="10" borderId="12" xfId="0" applyFont="1" applyFill="1" applyBorder="1" applyAlignment="1">
      <alignment vertical="center" wrapText="1"/>
    </xf>
    <xf numFmtId="0" fontId="11" fillId="10" borderId="7" xfId="0" applyFont="1" applyFill="1" applyBorder="1" applyAlignment="1">
      <alignment horizontal="center" vertical="center" wrapText="1"/>
    </xf>
    <xf numFmtId="0" fontId="10" fillId="10" borderId="5" xfId="0" applyFont="1" applyFill="1" applyBorder="1" applyAlignment="1">
      <alignment vertical="center" wrapText="1"/>
    </xf>
    <xf numFmtId="0" fontId="11" fillId="10" borderId="5" xfId="0" applyFont="1" applyFill="1" applyBorder="1" applyAlignment="1">
      <alignment horizontal="center" vertical="center" wrapText="1"/>
    </xf>
    <xf numFmtId="0" fontId="11" fillId="10" borderId="12" xfId="0" applyFont="1" applyFill="1" applyBorder="1" applyAlignment="1">
      <alignment vertical="center" wrapText="1"/>
    </xf>
    <xf numFmtId="0" fontId="11" fillId="10" borderId="12" xfId="0" applyFont="1" applyFill="1" applyBorder="1" applyAlignment="1">
      <alignment horizontal="center" vertical="center" wrapText="1"/>
    </xf>
    <xf numFmtId="0" fontId="10" fillId="13" borderId="9" xfId="0" applyFont="1" applyFill="1" applyBorder="1" applyAlignment="1">
      <alignment vertical="center" wrapText="1"/>
    </xf>
    <xf numFmtId="0" fontId="10" fillId="13" borderId="10" xfId="0" applyFont="1" applyFill="1" applyBorder="1" applyAlignment="1">
      <alignment vertical="center" wrapText="1"/>
    </xf>
    <xf numFmtId="0" fontId="10" fillId="13" borderId="11" xfId="0" applyFont="1" applyFill="1" applyBorder="1" applyAlignment="1">
      <alignment vertical="center" wrapText="1"/>
    </xf>
    <xf numFmtId="0" fontId="10" fillId="13" borderId="9" xfId="0" applyFont="1" applyFill="1" applyBorder="1" applyAlignment="1">
      <alignment horizontal="center" vertical="center" wrapText="1"/>
    </xf>
    <xf numFmtId="0" fontId="10" fillId="11" borderId="9" xfId="0" applyFont="1" applyFill="1" applyBorder="1" applyAlignment="1">
      <alignment horizontal="center" vertical="center" wrapText="1"/>
    </xf>
    <xf numFmtId="0" fontId="19" fillId="0" borderId="11" xfId="0" applyFont="1" applyBorder="1" applyAlignment="1">
      <alignment vertical="center" wrapText="1"/>
    </xf>
    <xf numFmtId="0" fontId="11" fillId="10" borderId="0" xfId="0" applyFont="1" applyFill="1" applyAlignment="1">
      <alignment vertical="center" wrapText="1"/>
    </xf>
    <xf numFmtId="0" fontId="10" fillId="10" borderId="1" xfId="0" applyFont="1" applyFill="1" applyBorder="1" applyAlignment="1">
      <alignment vertical="center" wrapText="1"/>
    </xf>
    <xf numFmtId="0" fontId="10" fillId="13" borderId="12" xfId="0" applyFont="1" applyFill="1" applyBorder="1" applyAlignment="1">
      <alignment vertical="center" wrapText="1"/>
    </xf>
    <xf numFmtId="176" fontId="10" fillId="10" borderId="1" xfId="1" applyNumberFormat="1" applyFont="1" applyFill="1" applyBorder="1" applyAlignment="1" applyProtection="1">
      <alignment vertical="center" wrapText="1"/>
    </xf>
    <xf numFmtId="176" fontId="10" fillId="15" borderId="1" xfId="1" applyNumberFormat="1" applyFont="1" applyFill="1" applyBorder="1" applyAlignment="1" applyProtection="1">
      <alignment vertical="center" wrapText="1"/>
    </xf>
    <xf numFmtId="0" fontId="10" fillId="10" borderId="1" xfId="0" applyFont="1" applyFill="1" applyBorder="1" applyAlignment="1">
      <alignment horizontal="center" vertical="center"/>
    </xf>
    <xf numFmtId="0" fontId="19" fillId="10" borderId="5" xfId="0" applyFont="1" applyFill="1" applyBorder="1" applyAlignment="1">
      <alignment vertical="center" wrapText="1"/>
    </xf>
    <xf numFmtId="38" fontId="11" fillId="10" borderId="7" xfId="1" applyFont="1" applyFill="1" applyBorder="1" applyAlignment="1" applyProtection="1">
      <alignment horizontal="center" vertical="center" wrapText="1"/>
    </xf>
    <xf numFmtId="0" fontId="19" fillId="10" borderId="12" xfId="0" applyFont="1" applyFill="1" applyBorder="1" applyAlignment="1">
      <alignment vertical="center" wrapText="1"/>
    </xf>
    <xf numFmtId="38" fontId="11" fillId="10" borderId="12" xfId="1" applyFont="1" applyFill="1" applyBorder="1" applyAlignment="1" applyProtection="1">
      <alignment horizontal="center" vertical="center" wrapText="1"/>
    </xf>
    <xf numFmtId="0" fontId="19" fillId="10" borderId="11" xfId="0" applyFont="1" applyFill="1" applyBorder="1" applyAlignment="1">
      <alignment vertical="center" wrapText="1"/>
    </xf>
    <xf numFmtId="176" fontId="10" fillId="13" borderId="10" xfId="1" applyNumberFormat="1" applyFont="1" applyFill="1" applyBorder="1" applyAlignment="1" applyProtection="1">
      <alignment vertical="center" wrapText="1"/>
    </xf>
    <xf numFmtId="176" fontId="10" fillId="13" borderId="0" xfId="1" applyNumberFormat="1" applyFont="1" applyFill="1" applyBorder="1" applyAlignment="1" applyProtection="1">
      <alignment vertical="center" wrapText="1"/>
    </xf>
    <xf numFmtId="176" fontId="10" fillId="13" borderId="11" xfId="1" applyNumberFormat="1" applyFont="1" applyFill="1" applyBorder="1" applyAlignment="1" applyProtection="1">
      <alignment vertical="center" wrapText="1"/>
    </xf>
    <xf numFmtId="0" fontId="11" fillId="10" borderId="0" xfId="0" applyFont="1" applyFill="1" applyAlignment="1">
      <alignment horizontal="center" vertical="center" wrapText="1"/>
    </xf>
    <xf numFmtId="0" fontId="10" fillId="13" borderId="3" xfId="0" applyFont="1" applyFill="1" applyBorder="1" applyAlignment="1">
      <alignment vertical="center" wrapText="1"/>
    </xf>
    <xf numFmtId="0" fontId="10" fillId="13" borderId="8" xfId="0" applyFont="1" applyFill="1" applyBorder="1" applyAlignment="1">
      <alignment vertical="center" wrapText="1"/>
    </xf>
    <xf numFmtId="0" fontId="10" fillId="13" borderId="4" xfId="0" applyFont="1" applyFill="1" applyBorder="1" applyAlignment="1">
      <alignment vertical="center" wrapText="1"/>
    </xf>
    <xf numFmtId="0" fontId="10" fillId="13" borderId="3" xfId="0" applyFont="1" applyFill="1" applyBorder="1" applyAlignment="1">
      <alignment horizontal="center" vertical="center" wrapText="1"/>
    </xf>
    <xf numFmtId="0" fontId="20" fillId="14" borderId="1" xfId="0" applyFont="1" applyFill="1" applyBorder="1" applyAlignment="1">
      <alignment horizontal="centerContinuous" vertical="center" wrapText="1"/>
    </xf>
    <xf numFmtId="0" fontId="20" fillId="14" borderId="12" xfId="0" applyFont="1" applyFill="1" applyBorder="1" applyAlignment="1">
      <alignment horizontal="centerContinuous" vertical="center" wrapText="1"/>
    </xf>
    <xf numFmtId="0" fontId="20" fillId="14" borderId="5" xfId="0" applyFont="1" applyFill="1" applyBorder="1" applyAlignment="1">
      <alignment horizontal="centerContinuous" vertical="center" wrapText="1"/>
    </xf>
    <xf numFmtId="0" fontId="34" fillId="13" borderId="14" xfId="0" applyFont="1" applyFill="1" applyBorder="1"/>
    <xf numFmtId="0" fontId="10" fillId="13" borderId="2" xfId="0" applyFont="1" applyFill="1" applyBorder="1" applyAlignment="1">
      <alignment vertical="center" wrapText="1"/>
    </xf>
    <xf numFmtId="0" fontId="36" fillId="13" borderId="10" xfId="0" applyFont="1" applyFill="1" applyBorder="1" applyAlignment="1">
      <alignment vertical="top"/>
    </xf>
    <xf numFmtId="0" fontId="34" fillId="13" borderId="10" xfId="0" applyFont="1" applyFill="1" applyBorder="1" applyAlignment="1">
      <alignment vertical="top"/>
    </xf>
    <xf numFmtId="0" fontId="35" fillId="13" borderId="10" xfId="0" applyFont="1" applyFill="1" applyBorder="1" applyAlignment="1">
      <alignment vertical="top"/>
    </xf>
    <xf numFmtId="0" fontId="10" fillId="10" borderId="8" xfId="0" applyFont="1" applyFill="1" applyBorder="1" applyAlignment="1">
      <alignment vertical="center" wrapText="1"/>
    </xf>
    <xf numFmtId="0" fontId="10" fillId="10" borderId="13" xfId="0" applyFont="1" applyFill="1" applyBorder="1" applyAlignment="1">
      <alignment vertical="center" wrapText="1"/>
    </xf>
    <xf numFmtId="0" fontId="10" fillId="10" borderId="4" xfId="0" applyFont="1" applyFill="1" applyBorder="1" applyAlignment="1">
      <alignment vertical="center" wrapText="1"/>
    </xf>
    <xf numFmtId="0" fontId="34" fillId="13" borderId="10" xfId="0" applyFont="1" applyFill="1" applyBorder="1"/>
    <xf numFmtId="0" fontId="33" fillId="10" borderId="0" xfId="0" applyFont="1" applyFill="1" applyAlignment="1">
      <alignment horizontal="center" vertical="center" wrapText="1"/>
    </xf>
    <xf numFmtId="0" fontId="10" fillId="14" borderId="15" xfId="0" applyFont="1" applyFill="1" applyBorder="1" applyAlignment="1">
      <alignment vertical="center" wrapText="1"/>
    </xf>
    <xf numFmtId="0" fontId="29" fillId="14" borderId="28" xfId="0" applyFont="1" applyFill="1" applyBorder="1" applyAlignment="1">
      <alignment vertical="center"/>
    </xf>
    <xf numFmtId="0" fontId="29" fillId="14" borderId="29" xfId="0" applyFont="1" applyFill="1" applyBorder="1" applyAlignment="1">
      <alignment vertical="center"/>
    </xf>
    <xf numFmtId="0" fontId="29" fillId="14" borderId="30" xfId="0" applyFont="1" applyFill="1" applyBorder="1" applyAlignment="1">
      <alignment vertical="center"/>
    </xf>
    <xf numFmtId="0" fontId="10" fillId="10" borderId="0" xfId="0" applyFont="1" applyFill="1" applyAlignment="1">
      <alignment horizontal="left" vertical="center"/>
    </xf>
    <xf numFmtId="0" fontId="10" fillId="6" borderId="16" xfId="0" applyFont="1" applyFill="1" applyBorder="1" applyAlignment="1">
      <alignment vertical="center" wrapText="1"/>
    </xf>
    <xf numFmtId="0" fontId="10" fillId="6" borderId="17" xfId="0" applyFont="1" applyFill="1" applyBorder="1" applyAlignment="1">
      <alignment vertical="center" wrapText="1"/>
    </xf>
    <xf numFmtId="0" fontId="10" fillId="10" borderId="18" xfId="0" applyFont="1" applyFill="1" applyBorder="1" applyAlignment="1">
      <alignment horizontal="center" vertical="center"/>
    </xf>
    <xf numFmtId="0" fontId="10" fillId="6" borderId="19" xfId="0" applyFont="1" applyFill="1" applyBorder="1" applyAlignment="1">
      <alignment vertical="center" wrapText="1"/>
    </xf>
    <xf numFmtId="0" fontId="10" fillId="6" borderId="3" xfId="0" applyFont="1" applyFill="1" applyBorder="1" applyAlignment="1">
      <alignment vertical="center" wrapText="1"/>
    </xf>
    <xf numFmtId="0" fontId="10" fillId="10" borderId="20" xfId="0" applyFont="1" applyFill="1" applyBorder="1" applyAlignment="1">
      <alignment horizontal="center" vertical="center"/>
    </xf>
    <xf numFmtId="0" fontId="36" fillId="13" borderId="8" xfId="0" applyFont="1" applyFill="1" applyBorder="1" applyAlignment="1">
      <alignment vertical="top"/>
    </xf>
    <xf numFmtId="0" fontId="10" fillId="10" borderId="13" xfId="0" applyFont="1" applyFill="1" applyBorder="1" applyAlignment="1">
      <alignment horizontal="left" vertical="center" wrapText="1"/>
    </xf>
    <xf numFmtId="0" fontId="10" fillId="16" borderId="21" xfId="0" applyFont="1" applyFill="1" applyBorder="1" applyAlignment="1">
      <alignment vertical="center" wrapText="1"/>
    </xf>
    <xf numFmtId="0" fontId="10" fillId="16" borderId="0" xfId="0" applyFont="1" applyFill="1" applyAlignment="1">
      <alignment vertical="center" wrapText="1"/>
    </xf>
    <xf numFmtId="0" fontId="10" fillId="16" borderId="22" xfId="0" applyFont="1" applyFill="1" applyBorder="1" applyAlignment="1">
      <alignment vertical="center" wrapText="1"/>
    </xf>
    <xf numFmtId="0" fontId="10" fillId="16" borderId="23" xfId="0" applyFont="1" applyFill="1" applyBorder="1" applyAlignment="1">
      <alignment vertical="center" wrapText="1"/>
    </xf>
    <xf numFmtId="0" fontId="20" fillId="14" borderId="24" xfId="0" applyFont="1" applyFill="1" applyBorder="1" applyAlignment="1">
      <alignment horizontal="centerContinuous" vertical="center" wrapText="1"/>
    </xf>
    <xf numFmtId="176" fontId="10" fillId="10" borderId="25" xfId="1" applyNumberFormat="1" applyFont="1" applyFill="1" applyBorder="1" applyAlignment="1" applyProtection="1">
      <alignment horizontal="center" vertical="center" wrapText="1"/>
    </xf>
    <xf numFmtId="0" fontId="10" fillId="13" borderId="0" xfId="0" applyFont="1" applyFill="1" applyAlignment="1">
      <alignment vertical="center"/>
    </xf>
    <xf numFmtId="0" fontId="10" fillId="11" borderId="7" xfId="0" applyFont="1" applyFill="1" applyBorder="1" applyAlignment="1">
      <alignment vertical="center"/>
    </xf>
    <xf numFmtId="0" fontId="10" fillId="11" borderId="12" xfId="0" applyFont="1" applyFill="1" applyBorder="1" applyAlignment="1">
      <alignment vertical="center" wrapText="1"/>
    </xf>
    <xf numFmtId="0" fontId="10" fillId="11" borderId="5" xfId="0" applyFont="1" applyFill="1" applyBorder="1" applyAlignment="1">
      <alignment vertical="center" wrapText="1"/>
    </xf>
    <xf numFmtId="0" fontId="19" fillId="10" borderId="1" xfId="0" applyFont="1" applyFill="1" applyBorder="1" applyAlignment="1">
      <alignment vertical="center" wrapText="1"/>
    </xf>
    <xf numFmtId="0" fontId="10" fillId="6" borderId="1" xfId="0" applyFont="1" applyFill="1" applyBorder="1" applyAlignment="1">
      <alignment horizontal="centerContinuous" vertical="center" wrapText="1"/>
    </xf>
    <xf numFmtId="0" fontId="10" fillId="10" borderId="10" xfId="0" applyFont="1" applyFill="1" applyBorder="1" applyAlignment="1">
      <alignment vertical="center"/>
    </xf>
    <xf numFmtId="0" fontId="10" fillId="6" borderId="1" xfId="0" applyFont="1" applyFill="1" applyBorder="1" applyAlignment="1">
      <alignment horizontal="center" vertical="center" shrinkToFit="1"/>
    </xf>
    <xf numFmtId="0" fontId="10" fillId="13" borderId="0" xfId="0" applyFont="1" applyFill="1" applyAlignment="1">
      <alignment horizontal="center" vertical="center" shrinkToFit="1"/>
    </xf>
    <xf numFmtId="0" fontId="25" fillId="6" borderId="1" xfId="0" applyFont="1" applyFill="1" applyBorder="1" applyAlignment="1">
      <alignment vertical="center" wrapText="1" shrinkToFit="1"/>
    </xf>
    <xf numFmtId="0" fontId="10" fillId="6" borderId="1" xfId="0" applyFont="1" applyFill="1" applyBorder="1" applyAlignment="1">
      <alignment vertical="center" wrapText="1" shrinkToFit="1"/>
    </xf>
    <xf numFmtId="0" fontId="10" fillId="10" borderId="1" xfId="0" applyFont="1" applyFill="1" applyBorder="1" applyAlignment="1">
      <alignment horizontal="center" vertical="center" wrapText="1"/>
    </xf>
    <xf numFmtId="0" fontId="10" fillId="6" borderId="1" xfId="0" applyFont="1" applyFill="1" applyBorder="1" applyAlignment="1">
      <alignment vertical="center" shrinkToFit="1"/>
    </xf>
    <xf numFmtId="0" fontId="23" fillId="11" borderId="1" xfId="0" applyFont="1" applyFill="1" applyBorder="1" applyAlignment="1">
      <alignment horizontal="center" vertical="center" wrapText="1"/>
    </xf>
    <xf numFmtId="0" fontId="15" fillId="10" borderId="0" xfId="0" applyFont="1" applyFill="1" applyAlignment="1">
      <alignment vertical="center"/>
    </xf>
    <xf numFmtId="0" fontId="10" fillId="10" borderId="1" xfId="0" applyFont="1" applyFill="1" applyBorder="1" applyAlignment="1">
      <alignment vertical="center" shrinkToFit="1"/>
    </xf>
    <xf numFmtId="0" fontId="26" fillId="6" borderId="12" xfId="0" applyFont="1" applyFill="1" applyBorder="1" applyAlignment="1">
      <alignment horizontal="center" vertical="center" wrapText="1"/>
    </xf>
    <xf numFmtId="0" fontId="26" fillId="10" borderId="12" xfId="0" applyFont="1" applyFill="1" applyBorder="1" applyAlignment="1">
      <alignment horizontal="center" vertical="center" wrapText="1"/>
    </xf>
    <xf numFmtId="0" fontId="25" fillId="10" borderId="12" xfId="0" applyFont="1" applyFill="1" applyBorder="1" applyAlignment="1">
      <alignment horizontal="center" vertical="center" wrapText="1"/>
    </xf>
    <xf numFmtId="0" fontId="26" fillId="10" borderId="0" xfId="0" applyFont="1" applyFill="1" applyAlignment="1">
      <alignment horizontal="center" vertical="center" wrapText="1"/>
    </xf>
    <xf numFmtId="0" fontId="26" fillId="10" borderId="13" xfId="0" applyFont="1" applyFill="1" applyBorder="1" applyAlignment="1">
      <alignment horizontal="center" vertical="center" wrapText="1"/>
    </xf>
    <xf numFmtId="0" fontId="25" fillId="10" borderId="13" xfId="0" applyFont="1" applyFill="1" applyBorder="1" applyAlignment="1">
      <alignment horizontal="center" vertical="center" wrapText="1"/>
    </xf>
    <xf numFmtId="0" fontId="27" fillId="19" borderId="14" xfId="0" applyFont="1" applyFill="1" applyBorder="1" applyAlignment="1">
      <alignment vertical="center"/>
    </xf>
    <xf numFmtId="0" fontId="28" fillId="19" borderId="15" xfId="0" applyFont="1" applyFill="1" applyBorder="1" applyAlignment="1">
      <alignment vertical="center" wrapText="1"/>
    </xf>
    <xf numFmtId="0" fontId="28" fillId="19" borderId="2" xfId="0" applyFont="1" applyFill="1" applyBorder="1" applyAlignment="1">
      <alignment vertical="center" wrapText="1"/>
    </xf>
    <xf numFmtId="0" fontId="10" fillId="21" borderId="10" xfId="0" applyFont="1" applyFill="1" applyBorder="1" applyAlignment="1">
      <alignment vertical="center" wrapText="1"/>
    </xf>
    <xf numFmtId="0" fontId="10" fillId="21" borderId="0" xfId="0" applyFont="1" applyFill="1" applyAlignment="1">
      <alignment vertical="center"/>
    </xf>
    <xf numFmtId="0" fontId="10" fillId="21" borderId="0" xfId="0" applyFont="1" applyFill="1" applyAlignment="1">
      <alignment vertical="center" wrapText="1"/>
    </xf>
    <xf numFmtId="0" fontId="10" fillId="21" borderId="11" xfId="0" applyFont="1" applyFill="1" applyBorder="1" applyAlignment="1">
      <alignment vertical="center" wrapText="1"/>
    </xf>
    <xf numFmtId="0" fontId="42" fillId="6" borderId="1" xfId="0" applyFont="1" applyFill="1" applyBorder="1" applyAlignment="1">
      <alignment horizontal="center" vertical="center" wrapText="1"/>
    </xf>
    <xf numFmtId="0" fontId="10" fillId="21" borderId="11" xfId="0" applyFont="1" applyFill="1" applyBorder="1" applyAlignment="1">
      <alignment vertical="center"/>
    </xf>
    <xf numFmtId="178" fontId="25" fillId="10" borderId="71" xfId="0" applyNumberFormat="1" applyFont="1" applyFill="1" applyBorder="1" applyAlignment="1">
      <alignment horizontal="center" vertical="center" wrapText="1"/>
    </xf>
    <xf numFmtId="176" fontId="19" fillId="10" borderId="70" xfId="1" applyNumberFormat="1" applyFont="1" applyFill="1" applyBorder="1" applyAlignment="1" applyProtection="1">
      <alignment horizontal="center" vertical="center" shrinkToFit="1"/>
    </xf>
    <xf numFmtId="178" fontId="25" fillId="10" borderId="8" xfId="0" applyNumberFormat="1" applyFont="1" applyFill="1" applyBorder="1" applyAlignment="1">
      <alignment horizontal="center" vertical="center" wrapText="1"/>
    </xf>
    <xf numFmtId="0" fontId="40" fillId="21" borderId="0" xfId="0" applyFont="1" applyFill="1" applyAlignment="1">
      <alignment horizontal="left" vertical="center"/>
    </xf>
    <xf numFmtId="0" fontId="39" fillId="21" borderId="0" xfId="0" applyFont="1" applyFill="1" applyAlignment="1">
      <alignment horizontal="left" vertical="center"/>
    </xf>
    <xf numFmtId="176" fontId="24" fillId="10" borderId="65" xfId="1" applyNumberFormat="1" applyFont="1" applyFill="1" applyBorder="1" applyAlignment="1" applyProtection="1">
      <alignment horizontal="center" vertical="center" wrapText="1"/>
    </xf>
    <xf numFmtId="0" fontId="10" fillId="21" borderId="0" xfId="0" applyFont="1" applyFill="1" applyAlignment="1">
      <alignment vertical="top"/>
    </xf>
    <xf numFmtId="0" fontId="10" fillId="21" borderId="8" xfId="0" applyFont="1" applyFill="1" applyBorder="1" applyAlignment="1">
      <alignment vertical="center" wrapText="1"/>
    </xf>
    <xf numFmtId="0" fontId="10" fillId="21" borderId="13" xfId="0" applyFont="1" applyFill="1" applyBorder="1" applyAlignment="1">
      <alignment vertical="top"/>
    </xf>
    <xf numFmtId="0" fontId="10" fillId="21" borderId="13" xfId="0" applyFont="1" applyFill="1" applyBorder="1" applyAlignment="1">
      <alignment vertical="center" wrapText="1"/>
    </xf>
    <xf numFmtId="0" fontId="10" fillId="21" borderId="4" xfId="0" applyFont="1" applyFill="1" applyBorder="1" applyAlignment="1">
      <alignment vertical="center" wrapText="1"/>
    </xf>
    <xf numFmtId="0" fontId="11" fillId="8" borderId="9" xfId="0" applyFont="1" applyFill="1" applyBorder="1" applyAlignment="1" applyProtection="1">
      <alignment vertical="center" wrapText="1"/>
      <protection locked="0"/>
    </xf>
    <xf numFmtId="0" fontId="11" fillId="4" borderId="9" xfId="0"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wrapText="1"/>
      <protection locked="0"/>
    </xf>
    <xf numFmtId="38" fontId="11" fillId="8" borderId="9" xfId="1" applyFont="1" applyFill="1" applyBorder="1" applyAlignment="1" applyProtection="1">
      <alignment vertical="center" wrapText="1"/>
      <protection locked="0"/>
    </xf>
    <xf numFmtId="0" fontId="11" fillId="4" borderId="1" xfId="0" applyFont="1" applyFill="1" applyBorder="1" applyAlignment="1" applyProtection="1">
      <alignment horizontal="center" vertical="center"/>
      <protection locked="0"/>
    </xf>
    <xf numFmtId="178" fontId="25" fillId="10" borderId="6" xfId="0" applyNumberFormat="1" applyFont="1" applyFill="1" applyBorder="1" applyAlignment="1">
      <alignment horizontal="center" vertical="center" wrapText="1"/>
    </xf>
    <xf numFmtId="178" fontId="25" fillId="10" borderId="3" xfId="0" applyNumberFormat="1" applyFont="1" applyFill="1" applyBorder="1" applyAlignment="1">
      <alignment horizontal="center" vertical="center" wrapText="1"/>
    </xf>
    <xf numFmtId="0" fontId="40" fillId="21" borderId="10" xfId="0" applyFont="1" applyFill="1" applyBorder="1" applyAlignment="1">
      <alignment horizontal="left" vertical="center" wrapText="1"/>
    </xf>
    <xf numFmtId="0" fontId="40" fillId="21" borderId="0" xfId="0" applyFont="1" applyFill="1" applyAlignment="1">
      <alignment horizontal="left" vertical="center" wrapText="1"/>
    </xf>
    <xf numFmtId="0" fontId="40" fillId="21" borderId="11" xfId="0" applyFont="1" applyFill="1" applyBorder="1" applyAlignment="1">
      <alignment horizontal="left" vertical="center" wrapText="1"/>
    </xf>
    <xf numFmtId="176" fontId="24" fillId="10" borderId="74" xfId="1" applyNumberFormat="1" applyFont="1" applyFill="1" applyBorder="1" applyAlignment="1" applyProtection="1">
      <alignment horizontal="center" vertical="center" wrapText="1"/>
    </xf>
    <xf numFmtId="176" fontId="24" fillId="10" borderId="75" xfId="1" applyNumberFormat="1" applyFont="1" applyFill="1" applyBorder="1" applyAlignment="1" applyProtection="1">
      <alignment horizontal="center" vertical="center" wrapText="1"/>
    </xf>
    <xf numFmtId="176" fontId="24" fillId="10" borderId="7" xfId="0" applyNumberFormat="1" applyFont="1" applyFill="1" applyBorder="1" applyAlignment="1">
      <alignment horizontal="center" vertical="center" wrapText="1"/>
    </xf>
    <xf numFmtId="176" fontId="24" fillId="10" borderId="12" xfId="0" applyNumberFormat="1" applyFont="1" applyFill="1" applyBorder="1" applyAlignment="1">
      <alignment horizontal="center" vertical="center" wrapText="1"/>
    </xf>
    <xf numFmtId="176" fontId="24" fillId="10" borderId="5" xfId="0" applyNumberFormat="1" applyFont="1" applyFill="1" applyBorder="1" applyAlignment="1">
      <alignment horizontal="center" vertical="center" wrapText="1"/>
    </xf>
    <xf numFmtId="0" fontId="26" fillId="6" borderId="14" xfId="0" applyFont="1" applyFill="1" applyBorder="1" applyAlignment="1">
      <alignment horizontal="center" vertical="center" wrapText="1"/>
    </xf>
    <xf numFmtId="0" fontId="26" fillId="6" borderId="15" xfId="0" applyFont="1" applyFill="1" applyBorder="1" applyAlignment="1">
      <alignment horizontal="center" vertical="center" wrapText="1"/>
    </xf>
    <xf numFmtId="0" fontId="26" fillId="6" borderId="2" xfId="0" applyFont="1" applyFill="1" applyBorder="1" applyAlignment="1">
      <alignment horizontal="center" vertical="center" wrapText="1"/>
    </xf>
    <xf numFmtId="0" fontId="26" fillId="6" borderId="10"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6" borderId="11" xfId="0" applyFont="1" applyFill="1" applyBorder="1" applyAlignment="1">
      <alignment horizontal="center" vertical="center" wrapText="1"/>
    </xf>
    <xf numFmtId="0" fontId="26" fillId="6" borderId="27" xfId="0" applyFont="1" applyFill="1" applyBorder="1" applyAlignment="1">
      <alignment horizontal="center" vertical="center" wrapText="1"/>
    </xf>
    <xf numFmtId="0" fontId="26" fillId="6" borderId="31" xfId="0" applyFont="1" applyFill="1" applyBorder="1" applyAlignment="1">
      <alignment horizontal="center" vertical="center" wrapText="1"/>
    </xf>
    <xf numFmtId="0" fontId="26" fillId="6" borderId="26" xfId="0" applyFont="1" applyFill="1" applyBorder="1" applyAlignment="1">
      <alignment horizontal="center" vertical="center" wrapText="1"/>
    </xf>
    <xf numFmtId="176" fontId="24" fillId="10" borderId="71" xfId="0" applyNumberFormat="1" applyFont="1" applyFill="1" applyBorder="1" applyAlignment="1">
      <alignment horizontal="center" vertical="center" wrapText="1"/>
    </xf>
    <xf numFmtId="176" fontId="24" fillId="10" borderId="72" xfId="0" applyNumberFormat="1" applyFont="1" applyFill="1" applyBorder="1" applyAlignment="1">
      <alignment horizontal="center" vertical="center" wrapText="1"/>
    </xf>
    <xf numFmtId="176" fontId="24" fillId="10" borderId="73" xfId="0" applyNumberFormat="1" applyFont="1" applyFill="1" applyBorder="1" applyAlignment="1">
      <alignment horizontal="center" vertical="center" wrapText="1"/>
    </xf>
    <xf numFmtId="176" fontId="24" fillId="10" borderId="8" xfId="0" applyNumberFormat="1" applyFont="1" applyFill="1" applyBorder="1" applyAlignment="1">
      <alignment horizontal="center" vertical="center" wrapText="1"/>
    </xf>
    <xf numFmtId="176" fontId="24" fillId="10" borderId="13" xfId="0" applyNumberFormat="1" applyFont="1" applyFill="1" applyBorder="1" applyAlignment="1">
      <alignment horizontal="center" vertical="center" wrapText="1"/>
    </xf>
    <xf numFmtId="176" fontId="24" fillId="10" borderId="4" xfId="0"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11" borderId="1" xfId="0" applyFont="1" applyFill="1" applyBorder="1" applyAlignment="1">
      <alignment horizontal="left" vertical="center" wrapText="1"/>
    </xf>
    <xf numFmtId="0" fontId="25" fillId="10" borderId="12" xfId="0" applyFont="1" applyFill="1" applyBorder="1" applyAlignment="1">
      <alignment horizontal="center" vertical="center" wrapText="1"/>
    </xf>
    <xf numFmtId="0" fontId="25" fillId="10" borderId="0" xfId="0" applyFont="1" applyFill="1" applyAlignment="1">
      <alignment horizontal="center" vertical="center" wrapText="1"/>
    </xf>
    <xf numFmtId="0" fontId="26" fillId="6" borderId="12" xfId="0" applyFont="1" applyFill="1" applyBorder="1" applyAlignment="1">
      <alignment horizontal="center" vertical="center" wrapText="1"/>
    </xf>
    <xf numFmtId="0" fontId="11" fillId="12" borderId="6" xfId="0" applyFont="1" applyFill="1" applyBorder="1" applyAlignment="1">
      <alignment horizontal="center" vertical="center" wrapText="1"/>
    </xf>
    <xf numFmtId="0" fontId="11" fillId="12" borderId="9" xfId="0" applyFont="1" applyFill="1" applyBorder="1" applyAlignment="1">
      <alignment horizontal="center" vertical="center" wrapText="1"/>
    </xf>
    <xf numFmtId="0" fontId="11" fillId="12" borderId="14"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2" borderId="10" xfId="0" applyFont="1" applyFill="1" applyBorder="1" applyAlignment="1">
      <alignment horizontal="center" vertical="center" wrapText="1"/>
    </xf>
    <xf numFmtId="0" fontId="11" fillId="12" borderId="11" xfId="0" applyFont="1" applyFill="1" applyBorder="1" applyAlignment="1">
      <alignment horizontal="center" vertical="center" wrapText="1"/>
    </xf>
    <xf numFmtId="0" fontId="38" fillId="13" borderId="14" xfId="0" applyFont="1" applyFill="1" applyBorder="1" applyAlignment="1">
      <alignment vertical="top" wrapText="1"/>
    </xf>
    <xf numFmtId="0" fontId="38" fillId="13" borderId="2" xfId="0" applyFont="1" applyFill="1" applyBorder="1" applyAlignment="1">
      <alignment vertical="top" wrapText="1"/>
    </xf>
    <xf numFmtId="0" fontId="38" fillId="13" borderId="10" xfId="0" applyFont="1" applyFill="1" applyBorder="1" applyAlignment="1">
      <alignment vertical="top" wrapText="1"/>
    </xf>
    <xf numFmtId="0" fontId="38" fillId="13" borderId="11" xfId="0" applyFont="1" applyFill="1" applyBorder="1" applyAlignment="1">
      <alignment vertical="top" wrapText="1"/>
    </xf>
    <xf numFmtId="0" fontId="38" fillId="13" borderId="8" xfId="0" applyFont="1" applyFill="1" applyBorder="1" applyAlignment="1">
      <alignment vertical="top" wrapText="1"/>
    </xf>
    <xf numFmtId="0" fontId="38" fillId="13" borderId="4" xfId="0" applyFont="1" applyFill="1" applyBorder="1" applyAlignment="1">
      <alignment vertical="top" wrapText="1"/>
    </xf>
    <xf numFmtId="0" fontId="11" fillId="6" borderId="6"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69" xfId="0" applyFont="1" applyFill="1" applyBorder="1" applyAlignment="1">
      <alignment horizontal="center" vertical="center" wrapText="1"/>
    </xf>
    <xf numFmtId="176" fontId="19" fillId="10" borderId="7" xfId="0" applyNumberFormat="1" applyFont="1" applyFill="1" applyBorder="1" applyAlignment="1">
      <alignment horizontal="center" vertical="center"/>
    </xf>
    <xf numFmtId="176" fontId="19" fillId="10" borderId="5" xfId="0" applyNumberFormat="1" applyFont="1" applyFill="1" applyBorder="1" applyAlignment="1">
      <alignment horizontal="center" vertical="center"/>
    </xf>
    <xf numFmtId="0" fontId="19" fillId="10" borderId="7" xfId="0" applyFont="1" applyFill="1" applyBorder="1" applyAlignment="1">
      <alignment horizontal="center" vertical="center"/>
    </xf>
    <xf numFmtId="0" fontId="19" fillId="10" borderId="5" xfId="0" applyFont="1" applyFill="1" applyBorder="1" applyAlignment="1">
      <alignment horizontal="center" vertical="center"/>
    </xf>
    <xf numFmtId="0" fontId="23" fillId="4" borderId="7" xfId="0" applyFont="1" applyFill="1" applyBorder="1" applyAlignment="1" applyProtection="1">
      <alignment horizontal="center" vertical="center"/>
      <protection locked="0"/>
    </xf>
    <xf numFmtId="0" fontId="23" fillId="4" borderId="12" xfId="0" applyFont="1" applyFill="1" applyBorder="1" applyAlignment="1" applyProtection="1">
      <alignment horizontal="center" vertical="center"/>
      <protection locked="0"/>
    </xf>
    <xf numFmtId="0" fontId="23" fillId="4" borderId="5" xfId="0" applyFont="1" applyFill="1" applyBorder="1" applyAlignment="1" applyProtection="1">
      <alignment horizontal="center" vertical="center"/>
      <protection locked="0"/>
    </xf>
    <xf numFmtId="0" fontId="26" fillId="6" borderId="6" xfId="0" applyFont="1" applyFill="1" applyBorder="1" applyAlignment="1">
      <alignment horizontal="center" vertical="center" wrapText="1"/>
    </xf>
    <xf numFmtId="0" fontId="26" fillId="6" borderId="9" xfId="0" applyFont="1" applyFill="1" applyBorder="1" applyAlignment="1">
      <alignment horizontal="center" vertical="center" wrapText="1"/>
    </xf>
    <xf numFmtId="0" fontId="26" fillId="6" borderId="69" xfId="0" applyFont="1" applyFill="1" applyBorder="1" applyAlignment="1">
      <alignment horizontal="center" vertical="center" wrapText="1"/>
    </xf>
    <xf numFmtId="0" fontId="54" fillId="0" borderId="61" xfId="4" quotePrefix="1" applyFont="1" applyBorder="1" applyAlignment="1">
      <alignment vertical="center"/>
    </xf>
    <xf numFmtId="0" fontId="56" fillId="0" borderId="61" xfId="4" applyFont="1" applyBorder="1" applyAlignment="1">
      <alignment vertical="center"/>
    </xf>
    <xf numFmtId="0" fontId="54" fillId="0" borderId="50" xfId="4" quotePrefix="1" applyFont="1" applyBorder="1" applyAlignment="1">
      <alignment vertical="center"/>
    </xf>
    <xf numFmtId="0" fontId="62" fillId="0" borderId="50" xfId="4" applyFont="1" applyBorder="1" applyAlignment="1">
      <alignment vertical="center"/>
    </xf>
    <xf numFmtId="0" fontId="58" fillId="0" borderId="0" xfId="4" applyFont="1" applyAlignment="1">
      <alignment horizontal="left" vertical="center" shrinkToFit="1"/>
    </xf>
    <xf numFmtId="0" fontId="43" fillId="0" borderId="0" xfId="4" applyAlignment="1">
      <alignment vertical="center"/>
    </xf>
    <xf numFmtId="0" fontId="60" fillId="0" borderId="49" xfId="4" applyFont="1" applyBorder="1" applyAlignment="1">
      <alignment vertical="center"/>
    </xf>
    <xf numFmtId="0" fontId="61" fillId="0" borderId="0" xfId="4" applyFont="1" applyAlignment="1">
      <alignment vertical="center"/>
    </xf>
    <xf numFmtId="0" fontId="52" fillId="11" borderId="1" xfId="4" applyFont="1" applyFill="1" applyBorder="1" applyAlignment="1">
      <alignment horizontal="center" vertical="center"/>
    </xf>
    <xf numFmtId="0" fontId="54" fillId="0" borderId="57" xfId="4" applyFont="1" applyBorder="1" applyAlignment="1">
      <alignment vertical="center"/>
    </xf>
    <xf numFmtId="0" fontId="56" fillId="0" borderId="57" xfId="4" applyFont="1" applyBorder="1" applyAlignment="1">
      <alignment vertical="center"/>
    </xf>
    <xf numFmtId="0" fontId="54" fillId="0" borderId="57" xfId="4" quotePrefix="1" applyFont="1" applyBorder="1" applyAlignment="1">
      <alignment vertical="center"/>
    </xf>
    <xf numFmtId="0" fontId="52" fillId="0" borderId="44" xfId="4" applyFont="1" applyBorder="1" applyAlignment="1">
      <alignment horizontal="center" vertical="center" shrinkToFit="1"/>
    </xf>
    <xf numFmtId="0" fontId="56" fillId="0" borderId="45" xfId="4" applyFont="1" applyBorder="1" applyAlignment="1">
      <alignment vertical="center"/>
    </xf>
    <xf numFmtId="0" fontId="52" fillId="26" borderId="44" xfId="4" applyFont="1" applyFill="1" applyBorder="1" applyAlignment="1">
      <alignment horizontal="center" vertical="center" shrinkToFit="1"/>
    </xf>
    <xf numFmtId="0" fontId="52" fillId="26" borderId="47" xfId="4" applyFont="1" applyFill="1" applyBorder="1" applyAlignment="1">
      <alignment horizontal="center" vertical="center" shrinkToFit="1"/>
    </xf>
    <xf numFmtId="0" fontId="56" fillId="0" borderId="48" xfId="4" applyFont="1" applyBorder="1" applyAlignment="1">
      <alignment vertical="center"/>
    </xf>
    <xf numFmtId="0" fontId="52" fillId="0" borderId="51" xfId="4" applyFont="1" applyBorder="1" applyAlignment="1">
      <alignment vertical="center"/>
    </xf>
    <xf numFmtId="0" fontId="56" fillId="0" borderId="51" xfId="4" applyFont="1" applyBorder="1" applyAlignment="1">
      <alignment vertical="center"/>
    </xf>
    <xf numFmtId="0" fontId="54" fillId="0" borderId="55" xfId="4" quotePrefix="1" applyFont="1" applyBorder="1" applyAlignment="1">
      <alignment vertical="center"/>
    </xf>
    <xf numFmtId="0" fontId="56" fillId="0" borderId="55" xfId="4" applyFont="1" applyBorder="1" applyAlignment="1">
      <alignment vertical="center"/>
    </xf>
    <xf numFmtId="0" fontId="55" fillId="22" borderId="35" xfId="4" applyFont="1" applyFill="1" applyBorder="1" applyAlignment="1">
      <alignment horizontal="center" vertical="center" shrinkToFit="1"/>
    </xf>
    <xf numFmtId="0" fontId="56" fillId="0" borderId="38" xfId="4" applyFont="1" applyBorder="1" applyAlignment="1">
      <alignment vertical="center"/>
    </xf>
    <xf numFmtId="0" fontId="55" fillId="22" borderId="34" xfId="4" applyFont="1" applyFill="1" applyBorder="1" applyAlignment="1">
      <alignment horizontal="center" vertical="center" shrinkToFit="1"/>
    </xf>
    <xf numFmtId="0" fontId="56" fillId="0" borderId="35" xfId="4" applyFont="1" applyBorder="1" applyAlignment="1">
      <alignment vertical="center"/>
    </xf>
    <xf numFmtId="0" fontId="56" fillId="0" borderId="37" xfId="4" applyFont="1" applyBorder="1" applyAlignment="1">
      <alignment vertical="center"/>
    </xf>
    <xf numFmtId="0" fontId="52" fillId="0" borderId="40" xfId="4" applyFont="1" applyBorder="1" applyAlignment="1">
      <alignment horizontal="center" vertical="center" shrinkToFit="1"/>
    </xf>
    <xf numFmtId="0" fontId="56" fillId="0" borderId="41" xfId="4" applyFont="1" applyBorder="1" applyAlignment="1">
      <alignment vertical="center"/>
    </xf>
    <xf numFmtId="0" fontId="67" fillId="10" borderId="1" xfId="0" applyFont="1" applyFill="1" applyBorder="1" applyAlignment="1">
      <alignment vertical="center" wrapText="1"/>
    </xf>
    <xf numFmtId="0" fontId="67" fillId="10" borderId="1" xfId="0" applyFont="1" applyFill="1" applyBorder="1" applyAlignment="1">
      <alignment vertical="center"/>
    </xf>
    <xf numFmtId="0" fontId="68" fillId="10" borderId="1" xfId="0" applyFont="1" applyFill="1" applyBorder="1" applyAlignment="1">
      <alignment vertical="center" wrapText="1"/>
    </xf>
  </cellXfs>
  <cellStyles count="7">
    <cellStyle name="パーセント 2" xfId="3" xr:uid="{130FF278-D4D5-404C-AC31-A56C6CEF8BEB}"/>
    <cellStyle name="桁区切り" xfId="1" builtinId="6"/>
    <cellStyle name="桁区切り 2" xfId="6" xr:uid="{AAEB3CF6-9136-4AA8-A762-18C049CBF308}"/>
    <cellStyle name="標準" xfId="0" builtinId="0"/>
    <cellStyle name="標準 2" xfId="2" xr:uid="{D48CC249-87BA-413F-8056-AC9EC8CDEA99}"/>
    <cellStyle name="標準 2 2" xfId="5" xr:uid="{8003F32A-C8FD-4F96-85EF-C9E0A52AE757}"/>
    <cellStyle name="標準 3" xfId="4" xr:uid="{B5DCFDDD-A8BA-4EE6-B483-56618C431CB4}"/>
  </cellStyles>
  <dxfs count="3">
    <dxf>
      <fill>
        <patternFill>
          <bgColor rgb="FFFCD4DF"/>
        </patternFill>
      </fill>
    </dxf>
    <dxf>
      <fill>
        <patternFill>
          <bgColor rgb="FFFCD4DF"/>
        </patternFill>
      </fill>
    </dxf>
    <dxf>
      <fill>
        <patternFill>
          <bgColor rgb="FFFCD4DF"/>
        </patternFill>
      </fill>
    </dxf>
  </dxfs>
  <tableStyles count="0" defaultTableStyle="TableStyleMedium2" defaultPivotStyle="PivotStyleLight16"/>
  <colors>
    <mruColors>
      <color rgb="FFFCD4DF"/>
      <color rgb="FFFBF6D5"/>
      <color rgb="FFFFEFE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editAs="absolute">
    <xdr:from>
      <xdr:col>2</xdr:col>
      <xdr:colOff>0</xdr:colOff>
      <xdr:row>32</xdr:row>
      <xdr:rowOff>0</xdr:rowOff>
    </xdr:from>
    <xdr:to>
      <xdr:col>14</xdr:col>
      <xdr:colOff>795301</xdr:colOff>
      <xdr:row>37</xdr:row>
      <xdr:rowOff>56480</xdr:rowOff>
    </xdr:to>
    <xdr:sp textlink="">
      <xdr:nvSpPr>
        <xdr:cNvPr id="2" name="テキスト ボックス 1">
          <a:extLst>
            <a:ext uri="{FF2B5EF4-FFF2-40B4-BE49-F238E27FC236}">
              <a16:creationId xmlns:a16="http://schemas.microsoft.com/office/drawing/2014/main" id="{8AE3596E-D0E5-4E9A-9C0E-084E50E404F9}"/>
            </a:ext>
          </a:extLst>
        </xdr:cNvPr>
        <xdr:cNvSpPr txBox="1"/>
      </xdr:nvSpPr>
      <xdr:spPr>
        <a:xfrm>
          <a:off x="694765" y="8639735"/>
          <a:ext cx="8659925" cy="1285317"/>
        </a:xfrm>
        <a:prstGeom prst="rect">
          <a:avLst/>
        </a:prstGeom>
        <a:solidFill>
          <a:schemeClr val="bg1">
            <a:lumMod val="95000"/>
          </a:schemeClr>
        </a:solidFill>
        <a:ln w="6350" cmpd="sng">
          <a:solidFill>
            <a:schemeClr val="tx1">
              <a:lumMod val="75000"/>
              <a:lumOff val="2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en-US" altLang="ja-JP" sz="900" b="1">
              <a:solidFill>
                <a:schemeClr val="tx1">
                  <a:lumMod val="75000"/>
                  <a:lumOff val="25000"/>
                </a:schemeClr>
              </a:solidFill>
              <a:latin typeface="BIZ UDゴシック" panose="020B0400000000000000" pitchFamily="49" charset="-128"/>
              <a:ea typeface="BIZ UDゴシック" panose="020B0400000000000000" pitchFamily="49" charset="-128"/>
            </a:rPr>
            <a:t>※</a:t>
          </a:r>
          <a:r>
            <a:rPr kumimoji="1" lang="ja-JP" altLang="en-US" sz="900" b="1">
              <a:solidFill>
                <a:schemeClr val="tx1">
                  <a:lumMod val="75000"/>
                  <a:lumOff val="25000"/>
                </a:schemeClr>
              </a:solidFill>
              <a:latin typeface="BIZ UDゴシック" panose="020B0400000000000000" pitchFamily="49" charset="-128"/>
              <a:ea typeface="BIZ UDゴシック" panose="020B0400000000000000" pitchFamily="49" charset="-128"/>
            </a:rPr>
            <a:t>１　ひとり親</a:t>
          </a:r>
          <a:r>
            <a:rPr kumimoji="1" lang="ja-JP" altLang="en-US" sz="900" b="0">
              <a:solidFill>
                <a:schemeClr val="tx1">
                  <a:lumMod val="75000"/>
                  <a:lumOff val="25000"/>
                </a:schemeClr>
              </a:solidFill>
              <a:latin typeface="BIZ UDゴシック" panose="020B0400000000000000" pitchFamily="49" charset="-128"/>
              <a:ea typeface="BIZ UDゴシック" panose="020B0400000000000000" pitchFamily="49" charset="-128"/>
            </a:rPr>
            <a:t>：次のア～エの</a:t>
          </a:r>
          <a:r>
            <a:rPr kumimoji="1" lang="ja-JP" altLang="en-US" sz="900" b="0">
              <a:solidFill>
                <a:srgbClr val="FF0000"/>
              </a:solidFill>
              <a:latin typeface="BIZ UDゴシック" panose="020B0400000000000000" pitchFamily="49" charset="-128"/>
              <a:ea typeface="BIZ UDゴシック" panose="020B0400000000000000" pitchFamily="49" charset="-128"/>
            </a:rPr>
            <a:t>すべて</a:t>
          </a:r>
          <a:r>
            <a:rPr kumimoji="1" lang="ja-JP" altLang="en-US" sz="900" b="0">
              <a:solidFill>
                <a:schemeClr val="tx1">
                  <a:lumMod val="75000"/>
                  <a:lumOff val="25000"/>
                </a:schemeClr>
              </a:solidFill>
              <a:latin typeface="BIZ UDゴシック" panose="020B0400000000000000" pitchFamily="49" charset="-128"/>
              <a:ea typeface="BIZ UDゴシック" panose="020B0400000000000000" pitchFamily="49" charset="-128"/>
            </a:rPr>
            <a:t>に該当する方</a:t>
          </a:r>
        </a:p>
        <a:p>
          <a:r>
            <a:rPr kumimoji="1" lang="ja-JP" altLang="en-US" sz="800">
              <a:solidFill>
                <a:schemeClr val="tx1">
                  <a:lumMod val="75000"/>
                  <a:lumOff val="25000"/>
                </a:schemeClr>
              </a:solidFill>
              <a:latin typeface="BIZ UDゴシック" panose="020B0400000000000000" pitchFamily="49" charset="-128"/>
              <a:ea typeface="BIZ UDゴシック" panose="020B0400000000000000" pitchFamily="49" charset="-128"/>
            </a:rPr>
            <a:t>　　　　　ア 現に婚姻をしていないまたは配偶者の生死が不明</a:t>
          </a:r>
        </a:p>
        <a:p>
          <a:r>
            <a:rPr kumimoji="1" lang="ja-JP" altLang="en-US" sz="800">
              <a:solidFill>
                <a:schemeClr val="tx1">
                  <a:lumMod val="75000"/>
                  <a:lumOff val="25000"/>
                </a:schemeClr>
              </a:solidFill>
              <a:latin typeface="BIZ UDゴシック" panose="020B0400000000000000" pitchFamily="49" charset="-128"/>
              <a:ea typeface="BIZ UDゴシック" panose="020B0400000000000000" pitchFamily="49" charset="-128"/>
            </a:rPr>
            <a:t>　　　　　イ 事実上婚姻関係と同様の事情にあると認められる人がいない</a:t>
          </a:r>
        </a:p>
        <a:p>
          <a:r>
            <a:rPr kumimoji="1" lang="ja-JP" altLang="en-US" sz="800">
              <a:solidFill>
                <a:schemeClr val="tx1">
                  <a:lumMod val="75000"/>
                  <a:lumOff val="25000"/>
                </a:schemeClr>
              </a:solidFill>
              <a:latin typeface="BIZ UDゴシック" panose="020B0400000000000000" pitchFamily="49" charset="-128"/>
              <a:ea typeface="BIZ UDゴシック" panose="020B0400000000000000" pitchFamily="49" charset="-128"/>
            </a:rPr>
            <a:t>　　　　　ウ 年間の所得額が</a:t>
          </a:r>
          <a:r>
            <a:rPr kumimoji="1" lang="en-US" altLang="ja-JP" sz="800">
              <a:solidFill>
                <a:schemeClr val="tx1">
                  <a:lumMod val="75000"/>
                  <a:lumOff val="25000"/>
                </a:schemeClr>
              </a:solidFill>
              <a:latin typeface="BIZ UDゴシック" panose="020B0400000000000000" pitchFamily="49" charset="-128"/>
              <a:ea typeface="BIZ UDゴシック" panose="020B0400000000000000" pitchFamily="49" charset="-128"/>
            </a:rPr>
            <a:t>48</a:t>
          </a:r>
          <a:r>
            <a:rPr kumimoji="1" lang="ja-JP" altLang="en-US" sz="800">
              <a:solidFill>
                <a:schemeClr val="tx1">
                  <a:lumMod val="75000"/>
                  <a:lumOff val="25000"/>
                </a:schemeClr>
              </a:solidFill>
              <a:latin typeface="BIZ UDゴシック" panose="020B0400000000000000" pitchFamily="49" charset="-128"/>
              <a:ea typeface="BIZ UDゴシック" panose="020B0400000000000000" pitchFamily="49" charset="-128"/>
            </a:rPr>
            <a:t>万円以下の子がいる（他の人の扶養親族等となる場合は当てはまりません）</a:t>
          </a:r>
        </a:p>
        <a:p>
          <a:r>
            <a:rPr kumimoji="1" lang="ja-JP" altLang="en-US" sz="800">
              <a:solidFill>
                <a:schemeClr val="tx1">
                  <a:lumMod val="75000"/>
                  <a:lumOff val="25000"/>
                </a:schemeClr>
              </a:solidFill>
              <a:latin typeface="BIZ UDゴシック" panose="020B0400000000000000" pitchFamily="49" charset="-128"/>
              <a:ea typeface="BIZ UDゴシック" panose="020B0400000000000000" pitchFamily="49" charset="-128"/>
            </a:rPr>
            <a:t>　　　　　エ 年間の所得額が</a:t>
          </a:r>
          <a:r>
            <a:rPr kumimoji="1" lang="en-US" altLang="ja-JP" sz="800">
              <a:solidFill>
                <a:schemeClr val="tx1">
                  <a:lumMod val="75000"/>
                  <a:lumOff val="25000"/>
                </a:schemeClr>
              </a:solidFill>
              <a:latin typeface="BIZ UDゴシック" panose="020B0400000000000000" pitchFamily="49" charset="-128"/>
              <a:ea typeface="BIZ UDゴシック" panose="020B0400000000000000" pitchFamily="49" charset="-128"/>
            </a:rPr>
            <a:t>500</a:t>
          </a:r>
          <a:r>
            <a:rPr kumimoji="1" lang="ja-JP" altLang="en-US" sz="800">
              <a:solidFill>
                <a:schemeClr val="tx1">
                  <a:lumMod val="75000"/>
                  <a:lumOff val="25000"/>
                </a:schemeClr>
              </a:solidFill>
              <a:latin typeface="BIZ UDゴシック" panose="020B0400000000000000" pitchFamily="49" charset="-128"/>
              <a:ea typeface="BIZ UDゴシック" panose="020B0400000000000000" pitchFamily="49" charset="-128"/>
            </a:rPr>
            <a:t>万円以下である</a:t>
          </a:r>
          <a:endParaRPr kumimoji="1" lang="en-US" altLang="ja-JP" sz="800">
            <a:solidFill>
              <a:schemeClr val="tx1">
                <a:lumMod val="75000"/>
                <a:lumOff val="25000"/>
              </a:schemeClr>
            </a:solidFill>
            <a:latin typeface="BIZ UDゴシック" panose="020B0400000000000000" pitchFamily="49" charset="-128"/>
            <a:ea typeface="BIZ UDゴシック" panose="020B0400000000000000" pitchFamily="49" charset="-128"/>
          </a:endParaRPr>
        </a:p>
        <a:p>
          <a:endParaRPr kumimoji="1" lang="en-US" altLang="ja-JP" sz="800">
            <a:solidFill>
              <a:schemeClr val="tx1">
                <a:lumMod val="75000"/>
                <a:lumOff val="25000"/>
              </a:schemeClr>
            </a:solidFill>
            <a:latin typeface="BIZ UDゴシック" panose="020B0400000000000000" pitchFamily="49" charset="-128"/>
            <a:ea typeface="BIZ UDゴシック" panose="020B0400000000000000" pitchFamily="49" charset="-128"/>
          </a:endParaRPr>
        </a:p>
        <a:p>
          <a:r>
            <a:rPr kumimoji="1" lang="ja-JP" altLang="en-US" sz="900" b="1">
              <a:solidFill>
                <a:schemeClr val="tx1">
                  <a:lumMod val="75000"/>
                  <a:lumOff val="25000"/>
                </a:schemeClr>
              </a:solidFill>
              <a:effectLst/>
              <a:latin typeface="BIZ UDゴシック" panose="020B0400000000000000" pitchFamily="49" charset="-128"/>
              <a:ea typeface="BIZ UDゴシック" panose="020B0400000000000000" pitchFamily="49" charset="-128"/>
              <a:cs typeface="+mn-cs"/>
            </a:rPr>
            <a:t>　　　</a:t>
          </a:r>
          <a:r>
            <a:rPr kumimoji="1" lang="ja-JP" altLang="ja-JP" sz="900" b="1">
              <a:solidFill>
                <a:schemeClr val="tx1">
                  <a:lumMod val="75000"/>
                  <a:lumOff val="25000"/>
                </a:schemeClr>
              </a:solidFill>
              <a:effectLst/>
              <a:latin typeface="BIZ UDゴシック" panose="020B0400000000000000" pitchFamily="49" charset="-128"/>
              <a:ea typeface="BIZ UDゴシック" panose="020B0400000000000000" pitchFamily="49" charset="-128"/>
              <a:cs typeface="+mn-cs"/>
            </a:rPr>
            <a:t>寡婦</a:t>
          </a:r>
          <a:r>
            <a:rPr kumimoji="1" lang="ja-JP" altLang="ja-JP" sz="900" b="0">
              <a:solidFill>
                <a:schemeClr val="tx1">
                  <a:lumMod val="75000"/>
                  <a:lumOff val="25000"/>
                </a:schemeClr>
              </a:solidFill>
              <a:effectLst/>
              <a:latin typeface="BIZ UDゴシック" panose="020B0400000000000000" pitchFamily="49" charset="-128"/>
              <a:ea typeface="BIZ UDゴシック" panose="020B0400000000000000" pitchFamily="49" charset="-128"/>
              <a:cs typeface="+mn-cs"/>
            </a:rPr>
            <a:t>：ひとり親ではなく、次のア～ウの</a:t>
          </a:r>
          <a:r>
            <a:rPr kumimoji="1" lang="ja-JP" altLang="ja-JP" sz="900" b="1">
              <a:solidFill>
                <a:srgbClr val="0070C0"/>
              </a:solidFill>
              <a:effectLst/>
              <a:latin typeface="BIZ UDゴシック" panose="020B0400000000000000" pitchFamily="49" charset="-128"/>
              <a:ea typeface="BIZ UDゴシック" panose="020B0400000000000000" pitchFamily="49" charset="-128"/>
              <a:cs typeface="+mn-cs"/>
            </a:rPr>
            <a:t>いずれか</a:t>
          </a:r>
          <a:r>
            <a:rPr kumimoji="1" lang="ja-JP" altLang="ja-JP" sz="900" b="1">
              <a:solidFill>
                <a:schemeClr val="tx1">
                  <a:lumMod val="75000"/>
                  <a:lumOff val="25000"/>
                </a:schemeClr>
              </a:solidFill>
              <a:effectLst/>
              <a:latin typeface="BIZ UDゴシック" panose="020B0400000000000000" pitchFamily="49" charset="-128"/>
              <a:ea typeface="BIZ UDゴシック" panose="020B0400000000000000" pitchFamily="49" charset="-128"/>
              <a:cs typeface="+mn-cs"/>
            </a:rPr>
            <a:t>に</a:t>
          </a:r>
          <a:r>
            <a:rPr kumimoji="1" lang="ja-JP" altLang="ja-JP" sz="900" b="0">
              <a:solidFill>
                <a:schemeClr val="tx1">
                  <a:lumMod val="75000"/>
                  <a:lumOff val="25000"/>
                </a:schemeClr>
              </a:solidFill>
              <a:effectLst/>
              <a:latin typeface="BIZ UDゴシック" panose="020B0400000000000000" pitchFamily="49" charset="-128"/>
              <a:ea typeface="BIZ UDゴシック" panose="020B0400000000000000" pitchFamily="49" charset="-128"/>
              <a:cs typeface="+mn-cs"/>
            </a:rPr>
            <a:t>該当する方</a:t>
          </a:r>
          <a:endParaRPr lang="ja-JP" altLang="ja-JP" sz="900">
            <a:solidFill>
              <a:schemeClr val="tx1">
                <a:lumMod val="75000"/>
                <a:lumOff val="25000"/>
              </a:schemeClr>
            </a:solidFill>
            <a:effectLst/>
            <a:latin typeface="BIZ UDゴシック" panose="020B0400000000000000" pitchFamily="49" charset="-128"/>
            <a:ea typeface="BIZ UDゴシック" panose="020B0400000000000000" pitchFamily="49" charset="-128"/>
          </a:endParaRPr>
        </a:p>
        <a:p>
          <a:r>
            <a:rPr kumimoji="1" lang="ja-JP" altLang="ja-JP" sz="800">
              <a:solidFill>
                <a:schemeClr val="tx1">
                  <a:lumMod val="75000"/>
                  <a:lumOff val="25000"/>
                </a:schemeClr>
              </a:solidFill>
              <a:effectLst/>
              <a:latin typeface="BIZ UDゴシック" panose="020B0400000000000000" pitchFamily="49" charset="-128"/>
              <a:ea typeface="BIZ UDゴシック" panose="020B0400000000000000" pitchFamily="49" charset="-128"/>
              <a:cs typeface="+mn-cs"/>
            </a:rPr>
            <a:t>　</a:t>
          </a:r>
          <a:r>
            <a:rPr kumimoji="1" lang="ja-JP" altLang="en-US" sz="800">
              <a:solidFill>
                <a:schemeClr val="tx1">
                  <a:lumMod val="75000"/>
                  <a:lumOff val="25000"/>
                </a:schemeClr>
              </a:solidFill>
              <a:effectLst/>
              <a:latin typeface="BIZ UDゴシック" panose="020B0400000000000000" pitchFamily="49" charset="-128"/>
              <a:ea typeface="BIZ UDゴシック" panose="020B0400000000000000" pitchFamily="49" charset="-128"/>
              <a:cs typeface="+mn-cs"/>
            </a:rPr>
            <a:t>　　　　</a:t>
          </a:r>
          <a:r>
            <a:rPr kumimoji="1" lang="ja-JP" altLang="ja-JP" sz="800">
              <a:solidFill>
                <a:schemeClr val="tx1">
                  <a:lumMod val="75000"/>
                  <a:lumOff val="25000"/>
                </a:schemeClr>
              </a:solidFill>
              <a:effectLst/>
              <a:latin typeface="BIZ UDゴシック" panose="020B0400000000000000" pitchFamily="49" charset="-128"/>
              <a:ea typeface="BIZ UDゴシック" panose="020B0400000000000000" pitchFamily="49" charset="-128"/>
              <a:cs typeface="+mn-cs"/>
            </a:rPr>
            <a:t>ア 夫と離婚してから婚姻しておらず、扶養親族を有し、年間の所得の見積額が</a:t>
          </a:r>
          <a:r>
            <a:rPr kumimoji="1" lang="en-US" altLang="ja-JP" sz="800">
              <a:solidFill>
                <a:schemeClr val="tx1">
                  <a:lumMod val="75000"/>
                  <a:lumOff val="25000"/>
                </a:schemeClr>
              </a:solidFill>
              <a:effectLst/>
              <a:latin typeface="BIZ UDゴシック" panose="020B0400000000000000" pitchFamily="49" charset="-128"/>
              <a:ea typeface="BIZ UDゴシック" panose="020B0400000000000000" pitchFamily="49" charset="-128"/>
              <a:cs typeface="+mn-cs"/>
            </a:rPr>
            <a:t>500</a:t>
          </a:r>
          <a:r>
            <a:rPr kumimoji="1" lang="ja-JP" altLang="ja-JP" sz="800">
              <a:solidFill>
                <a:schemeClr val="tx1">
                  <a:lumMod val="75000"/>
                  <a:lumOff val="25000"/>
                </a:schemeClr>
              </a:solidFill>
              <a:effectLst/>
              <a:latin typeface="BIZ UDゴシック" panose="020B0400000000000000" pitchFamily="49" charset="-128"/>
              <a:ea typeface="BIZ UDゴシック" panose="020B0400000000000000" pitchFamily="49" charset="-128"/>
              <a:cs typeface="+mn-cs"/>
            </a:rPr>
            <a:t>万円以下であり、事実上婚姻関係と同様の事情にあると認められる人がいない</a:t>
          </a:r>
          <a:endParaRPr lang="ja-JP" altLang="ja-JP" sz="800">
            <a:solidFill>
              <a:schemeClr val="tx1">
                <a:lumMod val="75000"/>
                <a:lumOff val="25000"/>
              </a:schemeClr>
            </a:solidFill>
            <a:effectLst/>
            <a:latin typeface="BIZ UDゴシック" panose="020B0400000000000000" pitchFamily="49" charset="-128"/>
            <a:ea typeface="BIZ UDゴシック" panose="020B0400000000000000" pitchFamily="49" charset="-128"/>
          </a:endParaRPr>
        </a:p>
        <a:p>
          <a:r>
            <a:rPr kumimoji="1" lang="ja-JP" altLang="ja-JP" sz="800">
              <a:solidFill>
                <a:schemeClr val="tx1">
                  <a:lumMod val="75000"/>
                  <a:lumOff val="25000"/>
                </a:schemeClr>
              </a:solidFill>
              <a:effectLst/>
              <a:latin typeface="BIZ UDゴシック" panose="020B0400000000000000" pitchFamily="49" charset="-128"/>
              <a:ea typeface="BIZ UDゴシック" panose="020B0400000000000000" pitchFamily="49" charset="-128"/>
              <a:cs typeface="+mn-cs"/>
            </a:rPr>
            <a:t>　</a:t>
          </a:r>
          <a:r>
            <a:rPr kumimoji="1" lang="ja-JP" altLang="en-US" sz="800">
              <a:solidFill>
                <a:schemeClr val="tx1">
                  <a:lumMod val="75000"/>
                  <a:lumOff val="25000"/>
                </a:schemeClr>
              </a:solidFill>
              <a:effectLst/>
              <a:latin typeface="BIZ UDゴシック" panose="020B0400000000000000" pitchFamily="49" charset="-128"/>
              <a:ea typeface="BIZ UDゴシック" panose="020B0400000000000000" pitchFamily="49" charset="-128"/>
              <a:cs typeface="+mn-cs"/>
            </a:rPr>
            <a:t>　　　　</a:t>
          </a:r>
          <a:r>
            <a:rPr kumimoji="1" lang="ja-JP" altLang="ja-JP" sz="800">
              <a:solidFill>
                <a:schemeClr val="tx1">
                  <a:lumMod val="75000"/>
                  <a:lumOff val="25000"/>
                </a:schemeClr>
              </a:solidFill>
              <a:effectLst/>
              <a:latin typeface="BIZ UDゴシック" panose="020B0400000000000000" pitchFamily="49" charset="-128"/>
              <a:ea typeface="BIZ UDゴシック" panose="020B0400000000000000" pitchFamily="49" charset="-128"/>
              <a:cs typeface="+mn-cs"/>
            </a:rPr>
            <a:t>イ 夫と死別してから婚姻していない、または夫の生死が不明で、年間の所得の見積額が</a:t>
          </a:r>
          <a:r>
            <a:rPr kumimoji="1" lang="en-US" altLang="ja-JP" sz="800">
              <a:solidFill>
                <a:schemeClr val="tx1">
                  <a:lumMod val="75000"/>
                  <a:lumOff val="25000"/>
                </a:schemeClr>
              </a:solidFill>
              <a:effectLst/>
              <a:latin typeface="BIZ UDゴシック" panose="020B0400000000000000" pitchFamily="49" charset="-128"/>
              <a:ea typeface="BIZ UDゴシック" panose="020B0400000000000000" pitchFamily="49" charset="-128"/>
              <a:cs typeface="+mn-cs"/>
            </a:rPr>
            <a:t>500</a:t>
          </a:r>
          <a:r>
            <a:rPr kumimoji="1" lang="ja-JP" altLang="ja-JP" sz="800">
              <a:solidFill>
                <a:schemeClr val="tx1">
                  <a:lumMod val="75000"/>
                  <a:lumOff val="25000"/>
                </a:schemeClr>
              </a:solidFill>
              <a:effectLst/>
              <a:latin typeface="BIZ UDゴシック" panose="020B0400000000000000" pitchFamily="49" charset="-128"/>
              <a:ea typeface="BIZ UDゴシック" panose="020B0400000000000000" pitchFamily="49" charset="-128"/>
              <a:cs typeface="+mn-cs"/>
            </a:rPr>
            <a:t>万円以下であり、事実上婚姻関係と同様の事情にあると認められる人がいない</a:t>
          </a:r>
          <a:endParaRPr lang="ja-JP" altLang="ja-JP" sz="800">
            <a:solidFill>
              <a:schemeClr val="tx1">
                <a:lumMod val="75000"/>
                <a:lumOff val="25000"/>
              </a:schemeClr>
            </a:solidFill>
            <a:effectLst/>
            <a:latin typeface="BIZ UDゴシック" panose="020B0400000000000000" pitchFamily="49" charset="-128"/>
            <a:ea typeface="BIZ UDゴシック" panose="020B0400000000000000" pitchFamily="49" charset="-128"/>
          </a:endParaRPr>
        </a:p>
        <a:p>
          <a:endParaRPr kumimoji="1" lang="ja-JP" altLang="en-US" sz="800">
            <a:latin typeface="BIZ UDゴシック" panose="020B0400000000000000" pitchFamily="49" charset="-128"/>
            <a:ea typeface="BIZ UDゴシック" panose="020B0400000000000000" pitchFamily="49" charset="-128"/>
          </a:endParaRPr>
        </a:p>
      </xdr:txBody>
    </xdr:sp>
    <xdr:clientData/>
  </xdr:twoCellAnchor>
  <xdr:twoCellAnchor editAs="absolute">
    <xdr:from>
      <xdr:col>2</xdr:col>
      <xdr:colOff>0</xdr:colOff>
      <xdr:row>63</xdr:row>
      <xdr:rowOff>0</xdr:rowOff>
    </xdr:from>
    <xdr:to>
      <xdr:col>14</xdr:col>
      <xdr:colOff>795301</xdr:colOff>
      <xdr:row>63</xdr:row>
      <xdr:rowOff>418665</xdr:rowOff>
    </xdr:to>
    <xdr:sp textlink="">
      <xdr:nvSpPr>
        <xdr:cNvPr id="3" name="テキスト ボックス 2">
          <a:extLst>
            <a:ext uri="{FF2B5EF4-FFF2-40B4-BE49-F238E27FC236}">
              <a16:creationId xmlns:a16="http://schemas.microsoft.com/office/drawing/2014/main" id="{E7C10161-1312-4A6D-9078-B999057A3478}"/>
            </a:ext>
          </a:extLst>
        </xdr:cNvPr>
        <xdr:cNvSpPr txBox="1"/>
      </xdr:nvSpPr>
      <xdr:spPr>
        <a:xfrm>
          <a:off x="694765" y="17649265"/>
          <a:ext cx="8659925" cy="418665"/>
        </a:xfrm>
        <a:prstGeom prst="rect">
          <a:avLst/>
        </a:prstGeom>
        <a:solidFill>
          <a:schemeClr val="bg1">
            <a:lumMod val="95000"/>
          </a:schemeClr>
        </a:solidFill>
        <a:ln w="6350" cmpd="sng">
          <a:solidFill>
            <a:schemeClr val="tx1">
              <a:lumMod val="75000"/>
              <a:lumOff val="2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en-US" altLang="ja-JP" sz="900" b="1">
              <a:solidFill>
                <a:schemeClr val="tx1">
                  <a:lumMod val="75000"/>
                  <a:lumOff val="25000"/>
                </a:schemeClr>
              </a:solidFill>
              <a:latin typeface="BIZ UDゴシック" panose="020B0400000000000000" pitchFamily="49" charset="-128"/>
              <a:ea typeface="BIZ UDゴシック" panose="020B0400000000000000" pitchFamily="49" charset="-128"/>
            </a:rPr>
            <a:t>※</a:t>
          </a:r>
          <a:r>
            <a:rPr kumimoji="1" lang="ja-JP" altLang="en-US" sz="900" b="1">
              <a:solidFill>
                <a:schemeClr val="tx1">
                  <a:lumMod val="75000"/>
                  <a:lumOff val="25000"/>
                </a:schemeClr>
              </a:solidFill>
              <a:latin typeface="BIZ UDゴシック" panose="020B0400000000000000" pitchFamily="49" charset="-128"/>
              <a:ea typeface="BIZ UDゴシック" panose="020B0400000000000000" pitchFamily="49" charset="-128"/>
            </a:rPr>
            <a:t>２　障がい者</a:t>
          </a:r>
          <a:r>
            <a:rPr kumimoji="1" lang="ja-JP" altLang="en-US" sz="900" b="0">
              <a:solidFill>
                <a:schemeClr val="tx1">
                  <a:lumMod val="75000"/>
                  <a:lumOff val="25000"/>
                </a:schemeClr>
              </a:solidFill>
              <a:latin typeface="BIZ UDゴシック" panose="020B0400000000000000" pitchFamily="49" charset="-128"/>
              <a:ea typeface="BIZ UDゴシック" panose="020B0400000000000000" pitchFamily="49" charset="-128"/>
            </a:rPr>
            <a:t>：障がい者手帳または療育手帳等を交付されている方、その他所得税法施行令第</a:t>
          </a:r>
          <a:r>
            <a:rPr kumimoji="1" lang="en-US" altLang="ja-JP" sz="900" b="0">
              <a:solidFill>
                <a:schemeClr val="tx1">
                  <a:lumMod val="75000"/>
                  <a:lumOff val="25000"/>
                </a:schemeClr>
              </a:solidFill>
              <a:latin typeface="BIZ UDゴシック" panose="020B0400000000000000" pitchFamily="49" charset="-128"/>
              <a:ea typeface="BIZ UDゴシック" panose="020B0400000000000000" pitchFamily="49" charset="-128"/>
            </a:rPr>
            <a:t>10</a:t>
          </a:r>
          <a:r>
            <a:rPr kumimoji="1" lang="ja-JP" altLang="en-US" sz="900" b="0">
              <a:solidFill>
                <a:schemeClr val="tx1">
                  <a:lumMod val="75000"/>
                  <a:lumOff val="25000"/>
                </a:schemeClr>
              </a:solidFill>
              <a:latin typeface="BIZ UDゴシック" panose="020B0400000000000000" pitchFamily="49" charset="-128"/>
              <a:ea typeface="BIZ UDゴシック" panose="020B0400000000000000" pitchFamily="49" charset="-128"/>
            </a:rPr>
            <a:t>条第</a:t>
          </a:r>
          <a:r>
            <a:rPr kumimoji="1" lang="en-US" altLang="ja-JP" sz="900" b="0">
              <a:solidFill>
                <a:schemeClr val="tx1">
                  <a:lumMod val="75000"/>
                  <a:lumOff val="25000"/>
                </a:schemeClr>
              </a:solidFill>
              <a:latin typeface="BIZ UDゴシック" panose="020B0400000000000000" pitchFamily="49" charset="-128"/>
              <a:ea typeface="BIZ UDゴシック" panose="020B0400000000000000" pitchFamily="49" charset="-128"/>
            </a:rPr>
            <a:t>1</a:t>
          </a:r>
          <a:r>
            <a:rPr kumimoji="1" lang="ja-JP" altLang="en-US" sz="900" b="0">
              <a:solidFill>
                <a:schemeClr val="tx1">
                  <a:lumMod val="75000"/>
                  <a:lumOff val="25000"/>
                </a:schemeClr>
              </a:solidFill>
              <a:latin typeface="BIZ UDゴシック" panose="020B0400000000000000" pitchFamily="49" charset="-128"/>
              <a:ea typeface="BIZ UDゴシック" panose="020B0400000000000000" pitchFamily="49" charset="-128"/>
            </a:rPr>
            <a:t>項に該当する方（特別障がい者に該当する方を除く）</a:t>
          </a:r>
          <a:endParaRPr kumimoji="1" lang="en-US" altLang="ja-JP" sz="900" b="0">
            <a:solidFill>
              <a:schemeClr val="tx1">
                <a:lumMod val="75000"/>
                <a:lumOff val="25000"/>
              </a:schemeClr>
            </a:solidFill>
            <a:latin typeface="BIZ UDゴシック" panose="020B0400000000000000" pitchFamily="49" charset="-128"/>
            <a:ea typeface="BIZ UDゴシック" panose="020B0400000000000000" pitchFamily="49" charset="-128"/>
          </a:endParaRPr>
        </a:p>
        <a:p>
          <a:r>
            <a:rPr kumimoji="1" lang="ja-JP" altLang="en-US" sz="900" b="1">
              <a:solidFill>
                <a:schemeClr val="tx1">
                  <a:lumMod val="75000"/>
                  <a:lumOff val="25000"/>
                </a:schemeClr>
              </a:solidFill>
              <a:effectLst/>
              <a:latin typeface="BIZ UDゴシック" panose="020B0400000000000000" pitchFamily="49" charset="-128"/>
              <a:ea typeface="BIZ UDゴシック" panose="020B0400000000000000" pitchFamily="49" charset="-128"/>
              <a:cs typeface="+mn-cs"/>
            </a:rPr>
            <a:t>　　　特別</a:t>
          </a:r>
          <a:r>
            <a:rPr kumimoji="1" lang="ja-JP" altLang="ja-JP" sz="900" b="1">
              <a:solidFill>
                <a:schemeClr val="tx1">
                  <a:lumMod val="75000"/>
                  <a:lumOff val="25000"/>
                </a:schemeClr>
              </a:solidFill>
              <a:effectLst/>
              <a:latin typeface="BIZ UDゴシック" panose="020B0400000000000000" pitchFamily="49" charset="-128"/>
              <a:ea typeface="BIZ UDゴシック" panose="020B0400000000000000" pitchFamily="49" charset="-128"/>
              <a:cs typeface="+mn-cs"/>
            </a:rPr>
            <a:t>障がい者</a:t>
          </a:r>
          <a:r>
            <a:rPr kumimoji="1" lang="ja-JP" altLang="ja-JP" sz="900" b="0">
              <a:solidFill>
                <a:schemeClr val="tx1">
                  <a:lumMod val="75000"/>
                  <a:lumOff val="25000"/>
                </a:schemeClr>
              </a:solidFill>
              <a:effectLst/>
              <a:latin typeface="BIZ UDゴシック" panose="020B0400000000000000" pitchFamily="49" charset="-128"/>
              <a:ea typeface="BIZ UDゴシック" panose="020B0400000000000000" pitchFamily="49" charset="-128"/>
              <a:cs typeface="+mn-cs"/>
            </a:rPr>
            <a:t>：</a:t>
          </a:r>
          <a:r>
            <a:rPr kumimoji="1" lang="en-US" altLang="ja-JP" sz="900">
              <a:solidFill>
                <a:schemeClr val="tx1">
                  <a:lumMod val="75000"/>
                  <a:lumOff val="25000"/>
                </a:schemeClr>
              </a:solidFill>
              <a:latin typeface="BIZ UDゴシック" panose="020B0400000000000000" pitchFamily="49" charset="-128"/>
              <a:ea typeface="BIZ UDゴシック" panose="020B0400000000000000" pitchFamily="49" charset="-128"/>
            </a:rPr>
            <a:t>1</a:t>
          </a:r>
          <a:r>
            <a:rPr kumimoji="1" lang="ja-JP" altLang="en-US" sz="900">
              <a:solidFill>
                <a:schemeClr val="tx1">
                  <a:lumMod val="75000"/>
                  <a:lumOff val="25000"/>
                </a:schemeClr>
              </a:solidFill>
              <a:latin typeface="BIZ UDゴシック" panose="020B0400000000000000" pitchFamily="49" charset="-128"/>
              <a:ea typeface="BIZ UDゴシック" panose="020B0400000000000000" pitchFamily="49" charset="-128"/>
            </a:rPr>
            <a:t>級または</a:t>
          </a:r>
          <a:r>
            <a:rPr kumimoji="1" lang="en-US" altLang="ja-JP" sz="900">
              <a:solidFill>
                <a:schemeClr val="tx1">
                  <a:lumMod val="75000"/>
                  <a:lumOff val="25000"/>
                </a:schemeClr>
              </a:solidFill>
              <a:latin typeface="BIZ UDゴシック" panose="020B0400000000000000" pitchFamily="49" charset="-128"/>
              <a:ea typeface="BIZ UDゴシック" panose="020B0400000000000000" pitchFamily="49" charset="-128"/>
            </a:rPr>
            <a:t>2</a:t>
          </a:r>
          <a:r>
            <a:rPr kumimoji="1" lang="ja-JP" altLang="en-US" sz="900">
              <a:solidFill>
                <a:schemeClr val="tx1">
                  <a:lumMod val="75000"/>
                  <a:lumOff val="25000"/>
                </a:schemeClr>
              </a:solidFill>
              <a:latin typeface="BIZ UDゴシック" panose="020B0400000000000000" pitchFamily="49" charset="-128"/>
              <a:ea typeface="BIZ UDゴシック" panose="020B0400000000000000" pitchFamily="49" charset="-128"/>
            </a:rPr>
            <a:t>級の障がい者手帳、</a:t>
          </a:r>
          <a:r>
            <a:rPr kumimoji="1" lang="en-US" altLang="ja-JP" sz="900">
              <a:solidFill>
                <a:schemeClr val="tx1">
                  <a:lumMod val="75000"/>
                  <a:lumOff val="25000"/>
                </a:schemeClr>
              </a:solidFill>
              <a:latin typeface="BIZ UDゴシック" panose="020B0400000000000000" pitchFamily="49" charset="-128"/>
              <a:ea typeface="BIZ UDゴシック" panose="020B0400000000000000" pitchFamily="49" charset="-128"/>
            </a:rPr>
            <a:t>A</a:t>
          </a:r>
          <a:r>
            <a:rPr kumimoji="1" lang="ja-JP" altLang="en-US" sz="900">
              <a:solidFill>
                <a:schemeClr val="tx1">
                  <a:lumMod val="75000"/>
                  <a:lumOff val="25000"/>
                </a:schemeClr>
              </a:solidFill>
              <a:latin typeface="BIZ UDゴシック" panose="020B0400000000000000" pitchFamily="49" charset="-128"/>
              <a:ea typeface="BIZ UDゴシック" panose="020B0400000000000000" pitchFamily="49" charset="-128"/>
            </a:rPr>
            <a:t>判定の療育手帳または</a:t>
          </a:r>
          <a:r>
            <a:rPr kumimoji="1" lang="en-US" altLang="ja-JP" sz="900">
              <a:solidFill>
                <a:schemeClr val="tx1">
                  <a:lumMod val="75000"/>
                  <a:lumOff val="25000"/>
                </a:schemeClr>
              </a:solidFill>
              <a:latin typeface="BIZ UDゴシック" panose="020B0400000000000000" pitchFamily="49" charset="-128"/>
              <a:ea typeface="BIZ UDゴシック" panose="020B0400000000000000" pitchFamily="49" charset="-128"/>
            </a:rPr>
            <a:t>1</a:t>
          </a:r>
          <a:r>
            <a:rPr kumimoji="1" lang="ja-JP" altLang="en-US" sz="900">
              <a:solidFill>
                <a:schemeClr val="tx1">
                  <a:lumMod val="75000"/>
                  <a:lumOff val="25000"/>
                </a:schemeClr>
              </a:solidFill>
              <a:latin typeface="BIZ UDゴシック" panose="020B0400000000000000" pitchFamily="49" charset="-128"/>
              <a:ea typeface="BIZ UDゴシック" panose="020B0400000000000000" pitchFamily="49" charset="-128"/>
            </a:rPr>
            <a:t>級の精神障害者保健福祉手帳などを交付されている方</a:t>
          </a:r>
          <a:endParaRPr kumimoji="1" lang="ja-JP" altLang="en-US" sz="900" b="1">
            <a:solidFill>
              <a:schemeClr val="tx1">
                <a:lumMod val="75000"/>
                <a:lumOff val="25000"/>
              </a:schemeClr>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5A161-3791-4CFC-A13E-6EA9B5F03935}">
  <dimension ref="A1:BC133"/>
  <sheetViews>
    <sheetView tabSelected="1" topLeftCell="I1" zoomScale="85" zoomScaleNormal="85" workbookViewId="0">
      <selection activeCell="BF9" sqref="BF9"/>
    </sheetView>
  </sheetViews>
  <sheetFormatPr defaultColWidth="9" defaultRowHeight="20.100000000000001" customHeight="1" x14ac:dyDescent="0.15"/>
  <cols>
    <col min="1" max="2" width="4.625" style="160" customWidth="1"/>
    <col min="3" max="3" width="14.25" style="160" customWidth="1"/>
    <col min="4" max="4" width="2.625" style="160" customWidth="1"/>
    <col min="5" max="5" width="6.625" style="160" customWidth="1"/>
    <col min="6" max="6" width="4.625" style="160" customWidth="1"/>
    <col min="7" max="7" width="2.625" style="160" customWidth="1"/>
    <col min="8" max="9" width="12.625" style="160" customWidth="1"/>
    <col min="10" max="10" width="2.625" style="160" customWidth="1"/>
    <col min="11" max="12" width="12.625" style="160" customWidth="1"/>
    <col min="13" max="13" width="16.625" style="160" customWidth="1"/>
    <col min="14" max="14" width="2.625" style="160" customWidth="1"/>
    <col min="15" max="15" width="12.625" style="160" customWidth="1"/>
    <col min="16" max="16" width="4.625" style="160" customWidth="1"/>
    <col min="17" max="17" width="12.625" style="160" customWidth="1"/>
    <col min="18" max="18" width="4.625" style="160" customWidth="1"/>
    <col min="19" max="19" width="12.625" style="160" customWidth="1"/>
    <col min="20" max="21" width="4.625" style="160" customWidth="1"/>
    <col min="22" max="22" width="9" style="160"/>
    <col min="23" max="23" width="9" style="160" hidden="1" customWidth="1"/>
    <col min="24" max="24" width="4.625" style="160" hidden="1" customWidth="1"/>
    <col min="25" max="25" width="2.625" style="160" hidden="1" customWidth="1"/>
    <col min="26" max="26" width="16.625" style="160" hidden="1" customWidth="1"/>
    <col min="27" max="27" width="17.75" style="160" hidden="1" customWidth="1"/>
    <col min="28" max="28" width="16.625" style="160" hidden="1" customWidth="1"/>
    <col min="29" max="29" width="2.625" style="160" hidden="1" customWidth="1"/>
    <col min="30" max="31" width="10.625" style="160" hidden="1" customWidth="1"/>
    <col min="32" max="32" width="2.625" style="160" hidden="1" customWidth="1"/>
    <col min="33" max="43" width="10.625" style="160" hidden="1" customWidth="1"/>
    <col min="44" max="55" width="9" style="160" hidden="1" customWidth="1"/>
    <col min="56" max="16384" width="9" style="160"/>
  </cols>
  <sheetData>
    <row r="1" spans="1:55" ht="20.100000000000001" customHeight="1" thickBot="1" x14ac:dyDescent="0.2">
      <c r="A1" s="157"/>
      <c r="B1" s="158"/>
      <c r="C1" s="158"/>
      <c r="D1" s="158"/>
      <c r="E1" s="158"/>
      <c r="F1" s="158"/>
      <c r="G1" s="158"/>
      <c r="H1" s="158"/>
      <c r="I1" s="158"/>
      <c r="J1" s="158"/>
      <c r="K1" s="158"/>
      <c r="L1" s="158"/>
      <c r="M1" s="158"/>
      <c r="N1" s="158"/>
      <c r="O1" s="158"/>
      <c r="P1" s="158"/>
      <c r="Q1" s="158"/>
      <c r="R1" s="158"/>
      <c r="S1" s="158"/>
      <c r="T1" s="158"/>
      <c r="U1" s="158"/>
      <c r="V1" s="157"/>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row>
    <row r="2" spans="1:55" ht="48.75" customHeight="1" thickBot="1" x14ac:dyDescent="0.2">
      <c r="A2" s="157"/>
      <c r="B2" s="161" t="s">
        <v>449</v>
      </c>
      <c r="C2" s="158"/>
      <c r="D2" s="158"/>
      <c r="E2" s="158"/>
      <c r="F2" s="158"/>
      <c r="G2" s="158"/>
      <c r="H2" s="158"/>
      <c r="I2" s="158"/>
      <c r="J2" s="158"/>
      <c r="K2" s="158"/>
      <c r="L2" s="158"/>
      <c r="M2" s="158"/>
      <c r="N2" s="158"/>
      <c r="O2" s="158"/>
      <c r="P2" s="158"/>
      <c r="Q2" s="158"/>
      <c r="R2" s="158"/>
      <c r="S2" s="158"/>
      <c r="T2" s="158"/>
      <c r="U2" s="158"/>
      <c r="V2" s="157"/>
      <c r="W2" s="159"/>
      <c r="X2" s="162" t="s">
        <v>124</v>
      </c>
      <c r="Y2" s="159"/>
      <c r="Z2" s="159"/>
      <c r="AA2" s="159"/>
      <c r="AB2" s="159"/>
      <c r="AC2" s="159"/>
      <c r="AD2" s="163"/>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row>
    <row r="3" spans="1:55" ht="8.1" customHeight="1" x14ac:dyDescent="0.15">
      <c r="A3" s="157"/>
      <c r="B3" s="164"/>
      <c r="C3" s="157"/>
      <c r="D3" s="157"/>
      <c r="E3" s="157"/>
      <c r="F3" s="157"/>
      <c r="G3" s="157"/>
      <c r="H3" s="157"/>
      <c r="I3" s="157"/>
      <c r="J3" s="157"/>
      <c r="K3" s="157"/>
      <c r="L3" s="157"/>
      <c r="M3" s="157"/>
      <c r="N3" s="157"/>
      <c r="O3" s="157"/>
      <c r="P3" s="157"/>
      <c r="Q3" s="157"/>
      <c r="R3" s="157"/>
      <c r="S3" s="157"/>
      <c r="T3" s="157"/>
      <c r="U3" s="157"/>
      <c r="V3" s="157"/>
      <c r="W3" s="159"/>
      <c r="X3" s="162"/>
      <c r="Y3" s="159"/>
      <c r="Z3" s="159"/>
      <c r="AA3" s="159"/>
      <c r="AB3" s="159"/>
      <c r="AC3" s="159"/>
      <c r="AD3" s="163"/>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row>
    <row r="4" spans="1:55" ht="18" customHeight="1" x14ac:dyDescent="0.15">
      <c r="A4" s="157"/>
      <c r="B4" s="165" t="s">
        <v>139</v>
      </c>
      <c r="C4" s="157"/>
      <c r="D4" s="157"/>
      <c r="E4" s="157"/>
      <c r="F4" s="157"/>
      <c r="G4" s="157"/>
      <c r="H4" s="157"/>
      <c r="I4" s="157"/>
      <c r="J4" s="157"/>
      <c r="K4" s="157"/>
      <c r="L4" s="157"/>
      <c r="M4" s="157"/>
      <c r="N4" s="166"/>
      <c r="O4" s="166"/>
      <c r="P4" s="166"/>
      <c r="Q4" s="166"/>
      <c r="R4" s="166"/>
      <c r="S4" s="157"/>
      <c r="T4" s="157"/>
      <c r="U4" s="157"/>
      <c r="V4" s="157"/>
      <c r="W4" s="159"/>
      <c r="X4" s="162"/>
      <c r="Y4" s="159"/>
      <c r="Z4" s="159"/>
      <c r="AA4" s="159"/>
      <c r="AB4" s="159"/>
      <c r="AC4" s="159"/>
      <c r="AD4" s="163"/>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row>
    <row r="5" spans="1:55" ht="18" customHeight="1" x14ac:dyDescent="0.15">
      <c r="A5" s="157"/>
      <c r="B5" s="167" t="s">
        <v>126</v>
      </c>
      <c r="C5" s="157"/>
      <c r="D5" s="157"/>
      <c r="E5" s="157"/>
      <c r="F5" s="157"/>
      <c r="G5" s="157"/>
      <c r="H5" s="157"/>
      <c r="I5" s="157"/>
      <c r="J5" s="157"/>
      <c r="K5" s="157"/>
      <c r="L5" s="157"/>
      <c r="M5" s="157"/>
      <c r="N5" s="166"/>
      <c r="O5" s="166"/>
      <c r="P5" s="166"/>
      <c r="Q5" s="166"/>
      <c r="R5" s="166"/>
      <c r="S5" s="157"/>
      <c r="T5" s="157"/>
      <c r="U5" s="157"/>
      <c r="V5" s="157"/>
      <c r="W5" s="159"/>
      <c r="X5" s="162"/>
      <c r="Y5" s="159"/>
      <c r="Z5" s="159"/>
      <c r="AA5" s="159"/>
      <c r="AB5" s="159"/>
      <c r="AC5" s="159"/>
      <c r="AD5" s="163"/>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row>
    <row r="6" spans="1:55" ht="18" customHeight="1" x14ac:dyDescent="0.15">
      <c r="A6" s="157"/>
      <c r="B6" s="167" t="s">
        <v>450</v>
      </c>
      <c r="C6" s="157"/>
      <c r="D6" s="157"/>
      <c r="E6" s="157"/>
      <c r="F6" s="157"/>
      <c r="G6" s="157"/>
      <c r="H6" s="157"/>
      <c r="I6" s="157"/>
      <c r="J6" s="157"/>
      <c r="K6" s="157"/>
      <c r="L6" s="157"/>
      <c r="M6" s="157"/>
      <c r="N6" s="166"/>
      <c r="O6" s="166"/>
      <c r="P6" s="166"/>
      <c r="Q6" s="166"/>
      <c r="R6" s="166"/>
      <c r="S6" s="157"/>
      <c r="T6" s="157"/>
      <c r="U6" s="157"/>
      <c r="V6" s="157"/>
      <c r="W6" s="159"/>
      <c r="X6" s="162"/>
      <c r="Y6" s="159"/>
      <c r="Z6" s="159"/>
      <c r="AA6" s="159"/>
      <c r="AB6" s="159"/>
      <c r="AC6" s="159"/>
      <c r="AD6" s="163"/>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row>
    <row r="7" spans="1:55" ht="8.1" customHeight="1" thickBot="1" x14ac:dyDescent="0.2">
      <c r="A7" s="157"/>
      <c r="B7" s="168"/>
      <c r="C7" s="158"/>
      <c r="D7" s="158"/>
      <c r="E7" s="158"/>
      <c r="F7" s="158"/>
      <c r="G7" s="158"/>
      <c r="H7" s="158"/>
      <c r="I7" s="158"/>
      <c r="J7" s="158"/>
      <c r="K7" s="158"/>
      <c r="L7" s="158"/>
      <c r="M7" s="158"/>
      <c r="N7" s="169"/>
      <c r="O7" s="169"/>
      <c r="P7" s="169"/>
      <c r="Q7" s="169"/>
      <c r="R7" s="158"/>
      <c r="S7" s="158"/>
      <c r="T7" s="158"/>
      <c r="U7" s="158"/>
      <c r="V7" s="157"/>
      <c r="W7" s="159"/>
      <c r="X7" s="162"/>
      <c r="Y7" s="159"/>
      <c r="Z7" s="159"/>
      <c r="AA7" s="159"/>
      <c r="AB7" s="159"/>
      <c r="AC7" s="159"/>
      <c r="AD7" s="163"/>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row>
    <row r="8" spans="1:55" ht="18" customHeight="1" x14ac:dyDescent="0.15">
      <c r="A8" s="157"/>
      <c r="B8" s="166"/>
      <c r="C8" s="170"/>
      <c r="D8" s="166"/>
      <c r="E8" s="166"/>
      <c r="F8" s="166"/>
      <c r="G8" s="166"/>
      <c r="H8" s="166"/>
      <c r="I8" s="166"/>
      <c r="J8" s="166"/>
      <c r="K8" s="166"/>
      <c r="L8" s="166"/>
      <c r="M8" s="166"/>
      <c r="N8" s="166"/>
      <c r="O8" s="166"/>
      <c r="P8" s="166"/>
      <c r="Q8" s="166"/>
      <c r="R8" s="157"/>
      <c r="S8" s="157"/>
      <c r="T8" s="157"/>
      <c r="U8" s="157"/>
      <c r="V8" s="157"/>
      <c r="W8" s="159"/>
      <c r="X8" s="162"/>
      <c r="Y8" s="159"/>
      <c r="Z8" s="159"/>
      <c r="AA8" s="159"/>
      <c r="AB8" s="159"/>
      <c r="AC8" s="159"/>
      <c r="AD8" s="163"/>
      <c r="AE8" s="159"/>
      <c r="AF8" s="159"/>
      <c r="AG8" s="159"/>
      <c r="AH8" s="159"/>
      <c r="AI8" s="159"/>
      <c r="AJ8" s="159"/>
      <c r="AK8" s="159"/>
      <c r="AL8" s="159"/>
      <c r="AM8" s="159"/>
      <c r="AN8" s="159"/>
      <c r="AO8" s="159"/>
      <c r="AP8" s="159"/>
      <c r="AQ8" s="159"/>
      <c r="AR8" s="159"/>
      <c r="AS8" s="159"/>
      <c r="AT8" s="159"/>
      <c r="AU8" s="159"/>
      <c r="AV8" s="159"/>
      <c r="AW8" s="159"/>
      <c r="AX8" s="159"/>
      <c r="AY8" s="159"/>
      <c r="AZ8" s="159"/>
      <c r="BA8" s="159"/>
      <c r="BB8" s="159"/>
      <c r="BC8" s="159"/>
    </row>
    <row r="9" spans="1:55" ht="30" customHeight="1" x14ac:dyDescent="0.15">
      <c r="A9" s="157"/>
      <c r="B9" s="171" t="s">
        <v>132</v>
      </c>
      <c r="C9" s="172"/>
      <c r="D9" s="172"/>
      <c r="E9" s="172"/>
      <c r="F9" s="172"/>
      <c r="G9" s="172"/>
      <c r="H9" s="172"/>
      <c r="I9" s="172"/>
      <c r="J9" s="172"/>
      <c r="K9" s="172"/>
      <c r="L9" s="172"/>
      <c r="M9" s="172"/>
      <c r="N9" s="172"/>
      <c r="O9" s="172"/>
      <c r="P9" s="172"/>
      <c r="Q9" s="172"/>
      <c r="R9" s="172"/>
      <c r="S9" s="172"/>
      <c r="T9" s="172"/>
      <c r="U9" s="173"/>
      <c r="V9" s="157"/>
      <c r="W9" s="159"/>
      <c r="X9" s="162"/>
      <c r="Y9" s="159"/>
      <c r="Z9" s="159"/>
      <c r="AA9" s="159"/>
      <c r="AB9" s="159"/>
      <c r="AC9" s="159"/>
      <c r="AD9" s="163"/>
      <c r="AE9" s="159"/>
      <c r="AF9" s="159"/>
      <c r="AG9" s="159"/>
      <c r="AH9" s="159"/>
      <c r="AI9" s="159"/>
      <c r="AJ9" s="159"/>
      <c r="AK9" s="159"/>
      <c r="AL9" s="159"/>
      <c r="AM9" s="159"/>
      <c r="AN9" s="159"/>
      <c r="AO9" s="159"/>
      <c r="AP9" s="159"/>
      <c r="AQ9" s="159"/>
      <c r="AR9" s="159"/>
      <c r="AS9" s="159"/>
      <c r="AT9" s="159"/>
      <c r="AU9" s="159"/>
      <c r="AV9" s="159"/>
      <c r="AW9" s="159"/>
      <c r="AX9" s="159"/>
      <c r="AY9" s="159"/>
      <c r="AZ9" s="159"/>
      <c r="BA9" s="159"/>
      <c r="BB9" s="159"/>
      <c r="BC9" s="159"/>
    </row>
    <row r="10" spans="1:55" ht="18" customHeight="1" x14ac:dyDescent="0.15">
      <c r="A10" s="157"/>
      <c r="B10" s="174"/>
      <c r="C10" s="175" t="s">
        <v>451</v>
      </c>
      <c r="D10" s="157"/>
      <c r="E10" s="157"/>
      <c r="F10" s="157"/>
      <c r="G10" s="157"/>
      <c r="H10" s="157"/>
      <c r="I10" s="157"/>
      <c r="J10" s="157"/>
      <c r="K10" s="157"/>
      <c r="L10" s="157"/>
      <c r="M10" s="157"/>
      <c r="N10" s="157"/>
      <c r="O10" s="157"/>
      <c r="P10" s="157"/>
      <c r="Q10" s="157"/>
      <c r="R10" s="157"/>
      <c r="S10" s="157"/>
      <c r="T10" s="157"/>
      <c r="U10" s="176"/>
      <c r="V10" s="157"/>
      <c r="W10" s="159"/>
      <c r="X10" s="162"/>
      <c r="Y10" s="159"/>
      <c r="Z10" s="159"/>
      <c r="AA10" s="159"/>
      <c r="AB10" s="159"/>
      <c r="AC10" s="159"/>
      <c r="AD10" s="163"/>
      <c r="AE10" s="159"/>
      <c r="AF10" s="159"/>
      <c r="AG10" s="159"/>
      <c r="AH10" s="159"/>
      <c r="AI10" s="159" t="s">
        <v>456</v>
      </c>
      <c r="AJ10" s="159"/>
      <c r="AK10" s="159"/>
      <c r="AL10" s="159"/>
      <c r="AM10" s="159"/>
      <c r="AN10" s="159"/>
      <c r="AO10" s="159"/>
      <c r="AP10" s="159"/>
      <c r="AQ10" s="159"/>
      <c r="AR10" s="159"/>
      <c r="AS10" s="159"/>
      <c r="AT10" s="159"/>
      <c r="AU10" s="159"/>
      <c r="AV10" s="159"/>
      <c r="AW10" s="159"/>
      <c r="AX10" s="159"/>
      <c r="AY10" s="159"/>
      <c r="AZ10" s="159"/>
      <c r="BA10" s="159"/>
      <c r="BB10" s="159"/>
      <c r="BC10" s="159"/>
    </row>
    <row r="11" spans="1:55" ht="15.95" customHeight="1" x14ac:dyDescent="0.15">
      <c r="A11" s="157"/>
      <c r="B11" s="174"/>
      <c r="C11" s="177" t="s">
        <v>128</v>
      </c>
      <c r="D11" s="178" t="s">
        <v>130</v>
      </c>
      <c r="E11" s="179"/>
      <c r="F11" s="179"/>
      <c r="G11" s="179"/>
      <c r="H11" s="179"/>
      <c r="I11" s="180" t="s">
        <v>131</v>
      </c>
      <c r="J11" s="178" t="s">
        <v>129</v>
      </c>
      <c r="K11" s="179"/>
      <c r="L11" s="179"/>
      <c r="M11" s="179"/>
      <c r="N11" s="157"/>
      <c r="O11" s="157"/>
      <c r="P11" s="157"/>
      <c r="Q11" s="157"/>
      <c r="R11" s="157"/>
      <c r="S11" s="157"/>
      <c r="T11" s="157"/>
      <c r="U11" s="176"/>
      <c r="V11" s="157"/>
      <c r="W11" s="159"/>
      <c r="X11" s="162"/>
      <c r="Y11" s="159"/>
      <c r="Z11" s="159"/>
      <c r="AA11" s="159"/>
      <c r="AB11" s="159"/>
      <c r="AC11" s="159"/>
      <c r="AD11" s="163"/>
      <c r="AE11" s="159"/>
      <c r="AF11" s="159"/>
      <c r="AG11" s="159"/>
      <c r="AH11" s="159"/>
      <c r="AI11" s="159"/>
      <c r="AJ11" s="159"/>
      <c r="AK11" s="159"/>
      <c r="AL11" s="159"/>
      <c r="AM11" s="159"/>
      <c r="AN11" s="159"/>
      <c r="AO11" s="159"/>
      <c r="AP11" s="159"/>
      <c r="AQ11" s="159"/>
      <c r="AR11" s="159"/>
      <c r="AS11" s="159"/>
      <c r="AT11" s="159"/>
      <c r="AU11" s="159"/>
      <c r="AV11" s="159"/>
      <c r="AW11" s="159"/>
      <c r="AX11" s="159"/>
      <c r="AY11" s="159"/>
      <c r="AZ11" s="159"/>
      <c r="BA11" s="159"/>
      <c r="BB11" s="159"/>
      <c r="BC11" s="159"/>
    </row>
    <row r="12" spans="1:55" ht="12" customHeight="1" x14ac:dyDescent="0.15">
      <c r="A12" s="157"/>
      <c r="B12" s="174"/>
      <c r="C12" s="157"/>
      <c r="D12" s="157"/>
      <c r="E12" s="157"/>
      <c r="F12" s="157"/>
      <c r="G12" s="157"/>
      <c r="H12" s="157"/>
      <c r="I12" s="157"/>
      <c r="J12" s="157"/>
      <c r="K12" s="157"/>
      <c r="L12" s="157"/>
      <c r="M12" s="157"/>
      <c r="N12" s="157"/>
      <c r="O12" s="157"/>
      <c r="P12" s="157"/>
      <c r="Q12" s="157"/>
      <c r="R12" s="157"/>
      <c r="S12" s="157"/>
      <c r="T12" s="157"/>
      <c r="U12" s="176"/>
      <c r="V12" s="157"/>
      <c r="W12" s="159"/>
      <c r="X12" s="159"/>
      <c r="Y12" s="159"/>
      <c r="Z12" s="181" t="s">
        <v>73</v>
      </c>
      <c r="AA12" s="181" t="s">
        <v>74</v>
      </c>
      <c r="AB12" s="181" t="s">
        <v>74</v>
      </c>
      <c r="AC12" s="159"/>
      <c r="AD12" s="181" t="s">
        <v>85</v>
      </c>
      <c r="AE12" s="181" t="s">
        <v>86</v>
      </c>
      <c r="AF12" s="159"/>
      <c r="AG12" s="181" t="s">
        <v>65</v>
      </c>
      <c r="AH12" s="181" t="s">
        <v>66</v>
      </c>
      <c r="AI12" s="181" t="s">
        <v>69</v>
      </c>
      <c r="AJ12" s="181" t="s">
        <v>70</v>
      </c>
      <c r="AK12" s="181" t="s">
        <v>75</v>
      </c>
      <c r="AL12" s="181" t="s">
        <v>76</v>
      </c>
      <c r="AM12" s="159"/>
      <c r="AN12" s="159"/>
      <c r="AO12" s="159"/>
      <c r="AP12" s="159"/>
      <c r="AQ12" s="159"/>
      <c r="AR12" s="159"/>
      <c r="AS12" s="159"/>
      <c r="AT12" s="159"/>
      <c r="AU12" s="159"/>
      <c r="AV12" s="159"/>
      <c r="AW12" s="159"/>
      <c r="AX12" s="159"/>
      <c r="AY12" s="159"/>
      <c r="AZ12" s="159"/>
      <c r="BA12" s="159"/>
      <c r="BB12" s="159"/>
      <c r="BC12" s="159"/>
    </row>
    <row r="13" spans="1:55" ht="17.25" x14ac:dyDescent="0.15">
      <c r="A13" s="157"/>
      <c r="B13" s="174"/>
      <c r="C13" s="345" t="s">
        <v>44</v>
      </c>
      <c r="D13" s="183"/>
      <c r="E13" s="347" t="s">
        <v>34</v>
      </c>
      <c r="F13" s="348"/>
      <c r="G13" s="183"/>
      <c r="H13" s="184" t="s">
        <v>125</v>
      </c>
      <c r="I13" s="185"/>
      <c r="J13" s="183"/>
      <c r="K13" s="184" t="s">
        <v>92</v>
      </c>
      <c r="L13" s="186"/>
      <c r="M13" s="187"/>
      <c r="N13" s="183"/>
      <c r="O13" s="184" t="s">
        <v>61</v>
      </c>
      <c r="P13" s="188"/>
      <c r="Q13" s="188"/>
      <c r="R13" s="188"/>
      <c r="S13" s="188"/>
      <c r="T13" s="185"/>
      <c r="U13" s="176"/>
      <c r="V13" s="157"/>
      <c r="W13" s="159"/>
      <c r="X13" s="339" t="s">
        <v>49</v>
      </c>
      <c r="Y13" s="189"/>
      <c r="Z13" s="190" t="s">
        <v>80</v>
      </c>
      <c r="AA13" s="191"/>
      <c r="AB13" s="192"/>
      <c r="AC13" s="189"/>
      <c r="AD13" s="193" t="s">
        <v>83</v>
      </c>
      <c r="AE13" s="194"/>
      <c r="AF13" s="189"/>
      <c r="AG13" s="190" t="s">
        <v>84</v>
      </c>
      <c r="AH13" s="191"/>
      <c r="AI13" s="191"/>
      <c r="AJ13" s="191"/>
      <c r="AK13" s="191"/>
      <c r="AL13" s="192"/>
      <c r="AM13" s="189"/>
      <c r="AN13" s="195" t="s">
        <v>96</v>
      </c>
      <c r="AO13" s="159"/>
      <c r="AP13" s="159"/>
      <c r="AQ13" s="159"/>
      <c r="AR13" s="159"/>
      <c r="AS13" s="159"/>
      <c r="AT13" s="159"/>
      <c r="AU13" s="159"/>
      <c r="AV13" s="159"/>
      <c r="AW13" s="159"/>
      <c r="AX13" s="159"/>
      <c r="AY13" s="159"/>
      <c r="AZ13" s="159"/>
      <c r="BA13" s="159"/>
      <c r="BB13" s="159"/>
      <c r="BC13" s="159"/>
    </row>
    <row r="14" spans="1:55" ht="36" customHeight="1" x14ac:dyDescent="0.15">
      <c r="A14" s="157"/>
      <c r="B14" s="174"/>
      <c r="C14" s="346"/>
      <c r="D14" s="157"/>
      <c r="E14" s="349"/>
      <c r="F14" s="350"/>
      <c r="G14" s="157"/>
      <c r="H14" s="182" t="s">
        <v>53</v>
      </c>
      <c r="I14" s="182" t="s">
        <v>54</v>
      </c>
      <c r="J14" s="157"/>
      <c r="K14" s="182" t="s">
        <v>95</v>
      </c>
      <c r="L14" s="182" t="s">
        <v>93</v>
      </c>
      <c r="M14" s="182" t="s">
        <v>94</v>
      </c>
      <c r="N14" s="157"/>
      <c r="O14" s="196" t="s">
        <v>35</v>
      </c>
      <c r="P14" s="197"/>
      <c r="Q14" s="196" t="s">
        <v>36</v>
      </c>
      <c r="R14" s="197"/>
      <c r="S14" s="196" t="s">
        <v>37</v>
      </c>
      <c r="T14" s="197"/>
      <c r="U14" s="176"/>
      <c r="V14" s="157"/>
      <c r="W14" s="159"/>
      <c r="X14" s="340"/>
      <c r="Y14" s="198"/>
      <c r="Z14" s="199" t="s">
        <v>47</v>
      </c>
      <c r="AA14" s="199" t="s">
        <v>46</v>
      </c>
      <c r="AB14" s="199" t="s">
        <v>48</v>
      </c>
      <c r="AC14" s="198"/>
      <c r="AD14" s="200" t="s">
        <v>81</v>
      </c>
      <c r="AE14" s="200" t="s">
        <v>82</v>
      </c>
      <c r="AF14" s="198"/>
      <c r="AG14" s="199" t="s">
        <v>50</v>
      </c>
      <c r="AH14" s="199" t="s">
        <v>51</v>
      </c>
      <c r="AI14" s="199" t="s">
        <v>57</v>
      </c>
      <c r="AJ14" s="199" t="s">
        <v>58</v>
      </c>
      <c r="AK14" s="199" t="s">
        <v>56</v>
      </c>
      <c r="AL14" s="199" t="s">
        <v>55</v>
      </c>
      <c r="AM14" s="198"/>
      <c r="AN14" s="199" t="s">
        <v>97</v>
      </c>
      <c r="AO14" s="159"/>
      <c r="AP14" s="159"/>
      <c r="AQ14" s="159"/>
      <c r="AR14" s="159"/>
      <c r="AS14" s="159"/>
      <c r="AT14" s="159"/>
      <c r="AU14" s="159"/>
      <c r="AV14" s="159"/>
      <c r="AW14" s="159"/>
      <c r="AX14" s="159"/>
      <c r="AY14" s="159"/>
      <c r="AZ14" s="159"/>
      <c r="BA14" s="159"/>
      <c r="BB14" s="159"/>
      <c r="BC14" s="159"/>
    </row>
    <row r="15" spans="1:55" ht="9.9499999999999993" customHeight="1" x14ac:dyDescent="0.15">
      <c r="A15" s="157"/>
      <c r="B15" s="174"/>
      <c r="C15" s="201"/>
      <c r="D15" s="202"/>
      <c r="E15" s="203"/>
      <c r="F15" s="204"/>
      <c r="G15" s="202"/>
      <c r="H15" s="203"/>
      <c r="I15" s="205"/>
      <c r="J15" s="206"/>
      <c r="K15" s="203"/>
      <c r="L15" s="207"/>
      <c r="M15" s="205"/>
      <c r="N15" s="206"/>
      <c r="O15" s="203"/>
      <c r="P15" s="202"/>
      <c r="Q15" s="207"/>
      <c r="R15" s="202"/>
      <c r="S15" s="207"/>
      <c r="T15" s="204"/>
      <c r="U15" s="176"/>
      <c r="V15" s="157"/>
      <c r="W15" s="159"/>
      <c r="X15" s="208"/>
      <c r="Y15" s="159"/>
      <c r="Z15" s="209"/>
      <c r="AA15" s="159"/>
      <c r="AB15" s="210"/>
      <c r="AC15" s="159"/>
      <c r="AD15" s="209"/>
      <c r="AE15" s="210"/>
      <c r="AF15" s="159"/>
      <c r="AG15" s="209"/>
      <c r="AH15" s="159"/>
      <c r="AI15" s="159"/>
      <c r="AJ15" s="159"/>
      <c r="AK15" s="159"/>
      <c r="AL15" s="210"/>
      <c r="AM15" s="159"/>
      <c r="AN15" s="211"/>
      <c r="AO15" s="159"/>
      <c r="AP15" s="159"/>
      <c r="AQ15" s="159"/>
      <c r="AR15" s="159"/>
      <c r="AS15" s="159"/>
      <c r="AT15" s="159"/>
      <c r="AU15" s="159"/>
      <c r="AV15" s="159"/>
      <c r="AW15" s="159"/>
      <c r="AX15" s="159"/>
      <c r="AY15" s="159"/>
      <c r="AZ15" s="159"/>
      <c r="BA15" s="159"/>
      <c r="BB15" s="159"/>
      <c r="BC15" s="159"/>
    </row>
    <row r="16" spans="1:55" ht="36" customHeight="1" x14ac:dyDescent="0.15">
      <c r="A16" s="157"/>
      <c r="B16" s="174"/>
      <c r="C16" s="212" t="s">
        <v>43</v>
      </c>
      <c r="D16" s="157"/>
      <c r="E16" s="307"/>
      <c r="F16" s="213" t="s">
        <v>52</v>
      </c>
      <c r="G16" s="157"/>
      <c r="H16" s="308"/>
      <c r="I16" s="308"/>
      <c r="J16" s="214"/>
      <c r="K16" s="309"/>
      <c r="L16" s="309"/>
      <c r="M16" s="309"/>
      <c r="N16" s="214"/>
      <c r="O16" s="310"/>
      <c r="P16" s="213" t="s">
        <v>59</v>
      </c>
      <c r="Q16" s="310"/>
      <c r="R16" s="213" t="s">
        <v>59</v>
      </c>
      <c r="S16" s="310"/>
      <c r="T16" s="213" t="s">
        <v>59</v>
      </c>
      <c r="U16" s="176"/>
      <c r="V16" s="157"/>
      <c r="W16" s="159"/>
      <c r="X16" s="215">
        <v>1</v>
      </c>
      <c r="Y16" s="216"/>
      <c r="Z16" s="217">
        <f ca="1">IFERROR(INDEX(OFFSET(所得計算!$E$4:$F$9,0,($X16-1)*2),MATCH("●",OFFSET(所得計算!$F$4:$F$9,0,($X16-1)*2),0),1),"na")</f>
        <v>0</v>
      </c>
      <c r="AA16" s="217">
        <f ca="1">IFERROR(INDEX(OFFSET(所得計算!$E$15:$F$69,0,($X16-1)*2),MATCH("●",OFFSET(所得計算!$F$15:$F$69,0,($X16-1)*2),0),1),"na")</f>
        <v>0</v>
      </c>
      <c r="AB16" s="217">
        <f>S16</f>
        <v>0</v>
      </c>
      <c r="AC16" s="216"/>
      <c r="AD16" s="217">
        <f>IF(OR(COUNTIF($AJ$16:$AJ$30,"&gt;0")+$M$62&gt;0,$M$54+$M$56&gt;0),IF($Z16&gt;=8500000,ROUNDUP((IF($Z16&gt;10000000,10000000,$Z16)-8500000)*0.1,0),0),0)</f>
        <v>0</v>
      </c>
      <c r="AE16" s="217">
        <f ca="1">IF(AND($Z16&gt;0,$AA16&gt;0,$Z16+$AA16&gt;100000),IF($Z16&gt;100000,100000,$Z16)+IF($AA16&gt;100000,100000,$AA16)-100000,0)</f>
        <v>0</v>
      </c>
      <c r="AF16" s="216"/>
      <c r="AG16" s="217">
        <f ca="1">IF($Z16+$AA16&gt;=100000,100000,$Z16+$AA16)</f>
        <v>0</v>
      </c>
      <c r="AH16" s="218">
        <v>0</v>
      </c>
      <c r="AI16" s="217">
        <f>IF(OR($K16="身体障害者手帳3級",$K16="身体障害者手帳4級",$K16="身体障害者手帳5級",$K16="身体障害者手帳6級",
$L16="療育手帳B",
$M16="精神障害者保健福祉手帳2級",$M16="精神障害者保健福祉手帳3級"),
270000,0)</f>
        <v>0</v>
      </c>
      <c r="AJ16" s="217">
        <f>IF(OR($K16="身体障害者手帳1級",$K16="身体障害者手帳2級",
$L16="療育手帳A",
$M16="精神障害者保健福祉手帳1級"),
400000,0)</f>
        <v>0</v>
      </c>
      <c r="AK16" s="217">
        <f>IF(I16="○(該当)",IF($Z16+$AA16+$AB16-$AG16&gt;=270000,270000,$Z16+$AA16+$AB16-$AG16),0)</f>
        <v>0</v>
      </c>
      <c r="AL16" s="217">
        <f>IF(H16="○(該当)",IF($Z16+$AA16+$AB16-$AG16&gt;=350000,350000,$Z16+$AA16+$AB16-$AG16),0)</f>
        <v>0</v>
      </c>
      <c r="AM16" s="216"/>
      <c r="AN16" s="219" t="str">
        <f>IF(OR($K16="身体障害者手帳1級",$K16="身体障害者手帳2級",$K16="身体障害者手帳3級",$K16="身体障害者手帳4級",
$L16="療育手帳A",$L16="療育手帳B",
$M16="精神障害者保健福祉手帳1級",$M16="精神障害者保健福祉手帳2級"),"該当","非該当")</f>
        <v>非該当</v>
      </c>
      <c r="AO16" s="159"/>
      <c r="AP16" s="159"/>
      <c r="AQ16" s="159"/>
      <c r="AR16" s="159"/>
      <c r="AS16" s="159"/>
      <c r="AT16" s="159"/>
      <c r="AU16" s="159"/>
      <c r="AV16" s="159"/>
      <c r="AW16" s="159"/>
      <c r="AX16" s="159"/>
      <c r="AY16" s="159"/>
      <c r="AZ16" s="159"/>
      <c r="BA16" s="159"/>
      <c r="BB16" s="159"/>
      <c r="BC16" s="159"/>
    </row>
    <row r="17" spans="1:55" ht="9.9499999999999993" customHeight="1" x14ac:dyDescent="0.15">
      <c r="A17" s="157"/>
      <c r="B17" s="174"/>
      <c r="C17" s="201"/>
      <c r="D17" s="202"/>
      <c r="E17" s="203"/>
      <c r="F17" s="220"/>
      <c r="G17" s="202"/>
      <c r="H17" s="203"/>
      <c r="I17" s="205"/>
      <c r="J17" s="206"/>
      <c r="K17" s="203"/>
      <c r="L17" s="207"/>
      <c r="M17" s="205"/>
      <c r="N17" s="206"/>
      <c r="O17" s="221"/>
      <c r="P17" s="222"/>
      <c r="Q17" s="223"/>
      <c r="R17" s="222"/>
      <c r="S17" s="223"/>
      <c r="T17" s="220"/>
      <c r="U17" s="224"/>
      <c r="V17" s="157"/>
      <c r="W17" s="159"/>
      <c r="X17" s="208"/>
      <c r="Y17" s="159"/>
      <c r="Z17" s="225"/>
      <c r="AA17" s="226"/>
      <c r="AB17" s="227"/>
      <c r="AC17" s="159"/>
      <c r="AD17" s="209"/>
      <c r="AE17" s="210"/>
      <c r="AF17" s="159"/>
      <c r="AG17" s="209"/>
      <c r="AH17" s="159"/>
      <c r="AI17" s="159"/>
      <c r="AJ17" s="159"/>
      <c r="AK17" s="159"/>
      <c r="AL17" s="210"/>
      <c r="AM17" s="159"/>
      <c r="AN17" s="211"/>
      <c r="AO17" s="159"/>
      <c r="AP17" s="159"/>
      <c r="AQ17" s="159"/>
      <c r="AR17" s="159"/>
      <c r="AS17" s="159"/>
      <c r="AT17" s="159"/>
      <c r="AU17" s="159"/>
      <c r="AV17" s="159"/>
      <c r="AW17" s="159"/>
      <c r="AX17" s="159"/>
      <c r="AY17" s="159"/>
      <c r="AZ17" s="159"/>
      <c r="BA17" s="159"/>
      <c r="BB17" s="159"/>
      <c r="BC17" s="159"/>
    </row>
    <row r="18" spans="1:55" ht="36" customHeight="1" x14ac:dyDescent="0.15">
      <c r="A18" s="157"/>
      <c r="B18" s="174"/>
      <c r="C18" s="212" t="s">
        <v>38</v>
      </c>
      <c r="D18" s="157"/>
      <c r="E18" s="307"/>
      <c r="F18" s="213" t="s">
        <v>52</v>
      </c>
      <c r="G18" s="157"/>
      <c r="H18" s="308"/>
      <c r="I18" s="308"/>
      <c r="J18" s="214"/>
      <c r="K18" s="309"/>
      <c r="L18" s="309"/>
      <c r="M18" s="309"/>
      <c r="N18" s="214"/>
      <c r="O18" s="310"/>
      <c r="P18" s="213" t="s">
        <v>59</v>
      </c>
      <c r="Q18" s="310"/>
      <c r="R18" s="213" t="s">
        <v>59</v>
      </c>
      <c r="S18" s="310"/>
      <c r="T18" s="213" t="s">
        <v>59</v>
      </c>
      <c r="U18" s="213"/>
      <c r="V18" s="157"/>
      <c r="W18" s="159"/>
      <c r="X18" s="215">
        <v>2</v>
      </c>
      <c r="Y18" s="216"/>
      <c r="Z18" s="217">
        <f ca="1">IFERROR(INDEX(OFFSET(所得計算!$E$4:$F$9,0,($X18-1)*2),MATCH("●",OFFSET(所得計算!$F$4:$F$9,0,($X18-1)*2),0),1),"na")</f>
        <v>0</v>
      </c>
      <c r="AA18" s="217">
        <f ca="1">IFERROR(INDEX(OFFSET(所得計算!$E$15:$F$69,0,($X18-1)*2),MATCH("●",OFFSET(所得計算!$F$15:$F$69,0,($X18-1)*2),0),1),"na")</f>
        <v>0</v>
      </c>
      <c r="AB18" s="217">
        <f>S18</f>
        <v>0</v>
      </c>
      <c r="AC18" s="216"/>
      <c r="AD18" s="217">
        <f>IF(OR(COUNTIF($AJ$16:$AJ$30,"&gt;0")+$M$62&gt;0,$M$54+$M$56&gt;0),IF($Z18&gt;=8500000,ROUNDUP((IF($Z18&gt;10000000,10000000,$Z18)-8500000)*0.1,0),0),0)</f>
        <v>0</v>
      </c>
      <c r="AE18" s="217">
        <f ca="1">IF(AND($Z18&gt;0,$AA18&gt;0,$Z18+$AA18&gt;100000),IF($Z18&gt;100000,100000,$Z18)+IF($AA18&gt;100000,100000,$AA18)-100000,0)</f>
        <v>0</v>
      </c>
      <c r="AF18" s="216"/>
      <c r="AG18" s="217">
        <f ca="1">IF($Z18+$AA18&gt;=100000,100000,$Z18+$AA18)</f>
        <v>0</v>
      </c>
      <c r="AH18" s="217">
        <f>IF(COUNTA($E18)+COUNTA($H18:$M18)+COUNTA($O18)+COUNTA($Q18)+COUNTA($S18)=0,0,380000)</f>
        <v>0</v>
      </c>
      <c r="AI18" s="217">
        <f>IF(OR($K18="身体障害者手帳3級",$K18="身体障害者手帳4級",$K18="身体障害者手帳5級",$K18="身体障害者手帳6級",
$L18="療育手帳B",
$M18="精神障害者保健福祉手帳2級",$M18="精神障害者保健福祉手帳3級"),
270000,0)</f>
        <v>0</v>
      </c>
      <c r="AJ18" s="217">
        <f>IF(OR($K18="身体障害者手帳1級",$K18="身体障害者手帳2級",
$L18="療育手帳A",
$M18="精神障害者保健福祉手帳1級"),
400000,0)</f>
        <v>0</v>
      </c>
      <c r="AK18" s="217">
        <f>IF(I18="○(該当)",IF($Z18+$AA18+$AB18-$AG18&gt;=270000,270000,$Z18+$AA18+$AB18-$AG18),0)</f>
        <v>0</v>
      </c>
      <c r="AL18" s="217">
        <f>IF(H18="○(該当)",IF($Z18+$AA18+$AB18-$AG18&gt;=350000,350000,$Z18+$AA18+$AB18-$AG18),0)</f>
        <v>0</v>
      </c>
      <c r="AM18" s="216"/>
      <c r="AN18" s="219" t="str">
        <f>IF(OR($K18="身体障害者手帳1級",$K18="身体障害者手帳2級",$K18="身体障害者手帳3級",$K18="身体障害者手帳4級",
$L18="療育手帳A",$L18="療育手帳B",
$M18="精神障害者保健福祉手帳1級",$M18="精神障害者保健福祉手帳2級"),"該当","非該当")</f>
        <v>非該当</v>
      </c>
      <c r="AO18" s="159"/>
      <c r="AP18" s="159"/>
      <c r="AQ18" s="159"/>
      <c r="AR18" s="159"/>
      <c r="AS18" s="159"/>
      <c r="AT18" s="159"/>
      <c r="AU18" s="159"/>
      <c r="AV18" s="159"/>
      <c r="AW18" s="159"/>
      <c r="AX18" s="159"/>
      <c r="AY18" s="159"/>
      <c r="AZ18" s="159"/>
      <c r="BA18" s="159"/>
      <c r="BB18" s="159"/>
      <c r="BC18" s="159"/>
    </row>
    <row r="19" spans="1:55" ht="9.9499999999999993" customHeight="1" x14ac:dyDescent="0.15">
      <c r="A19" s="157"/>
      <c r="B19" s="174"/>
      <c r="C19" s="201"/>
      <c r="D19" s="202"/>
      <c r="E19" s="203"/>
      <c r="F19" s="220"/>
      <c r="G19" s="202"/>
      <c r="H19" s="203"/>
      <c r="I19" s="205"/>
      <c r="J19" s="206"/>
      <c r="K19" s="203"/>
      <c r="L19" s="207"/>
      <c r="M19" s="205"/>
      <c r="N19" s="206"/>
      <c r="O19" s="221"/>
      <c r="P19" s="222"/>
      <c r="Q19" s="223"/>
      <c r="R19" s="222"/>
      <c r="S19" s="223"/>
      <c r="T19" s="220"/>
      <c r="U19" s="224"/>
      <c r="V19" s="157"/>
      <c r="W19" s="159"/>
      <c r="X19" s="208"/>
      <c r="Y19" s="159"/>
      <c r="Z19" s="225"/>
      <c r="AA19" s="226"/>
      <c r="AB19" s="227"/>
      <c r="AC19" s="159"/>
      <c r="AD19" s="209"/>
      <c r="AE19" s="210"/>
      <c r="AF19" s="159"/>
      <c r="AG19" s="209"/>
      <c r="AH19" s="159"/>
      <c r="AI19" s="159"/>
      <c r="AJ19" s="159"/>
      <c r="AK19" s="159"/>
      <c r="AL19" s="210"/>
      <c r="AM19" s="159"/>
      <c r="AN19" s="211"/>
      <c r="AO19" s="159"/>
      <c r="AP19" s="159"/>
      <c r="AQ19" s="159"/>
      <c r="AR19" s="159"/>
      <c r="AS19" s="159"/>
      <c r="AT19" s="159"/>
      <c r="AU19" s="159"/>
      <c r="AV19" s="159"/>
      <c r="AW19" s="159"/>
      <c r="AX19" s="159"/>
      <c r="AY19" s="159"/>
      <c r="AZ19" s="159"/>
      <c r="BA19" s="159"/>
      <c r="BB19" s="159"/>
      <c r="BC19" s="159"/>
    </row>
    <row r="20" spans="1:55" ht="36" customHeight="1" x14ac:dyDescent="0.15">
      <c r="A20" s="157"/>
      <c r="B20" s="174"/>
      <c r="C20" s="212" t="s">
        <v>39</v>
      </c>
      <c r="D20" s="157"/>
      <c r="E20" s="307"/>
      <c r="F20" s="213" t="s">
        <v>52</v>
      </c>
      <c r="G20" s="157"/>
      <c r="H20" s="308"/>
      <c r="I20" s="308"/>
      <c r="J20" s="228"/>
      <c r="K20" s="309"/>
      <c r="L20" s="309"/>
      <c r="M20" s="309"/>
      <c r="N20" s="228"/>
      <c r="O20" s="310"/>
      <c r="P20" s="213" t="s">
        <v>59</v>
      </c>
      <c r="Q20" s="310"/>
      <c r="R20" s="213" t="s">
        <v>59</v>
      </c>
      <c r="S20" s="310"/>
      <c r="T20" s="213" t="s">
        <v>59</v>
      </c>
      <c r="U20" s="213"/>
      <c r="V20" s="157"/>
      <c r="W20" s="159"/>
      <c r="X20" s="215">
        <v>3</v>
      </c>
      <c r="Y20" s="216"/>
      <c r="Z20" s="217">
        <f ca="1">IFERROR(INDEX(OFFSET(所得計算!$E$4:$F$9,0,($X20-1)*2),MATCH("●",OFFSET(所得計算!$F$4:$F$9,0,($X20-1)*2),0),1),"na")</f>
        <v>0</v>
      </c>
      <c r="AA20" s="217">
        <f ca="1">IFERROR(INDEX(OFFSET(所得計算!$E$15:$F$69,0,($X20-1)*2),MATCH("●",OFFSET(所得計算!$F$15:$F$69,0,($X20-1)*2),0),1),"na")</f>
        <v>0</v>
      </c>
      <c r="AB20" s="217">
        <f>S20</f>
        <v>0</v>
      </c>
      <c r="AC20" s="216"/>
      <c r="AD20" s="217">
        <f>IF(OR(COUNTIF($AJ$16:$AJ$30,"&gt;0")+$M$62&gt;0,$M$54+$M$56&gt;0),IF($Z20&gt;=8500000,ROUNDUP((IF($Z20&gt;10000000,10000000,$Z20)-8500000)*0.1,0),0),0)</f>
        <v>0</v>
      </c>
      <c r="AE20" s="217">
        <f ca="1">IF(AND($Z20&gt;0,$AA20&gt;0,$Z20+$AA20&gt;100000),IF($Z20&gt;100000,100000,$Z20)+IF($AA20&gt;100000,100000,$AA20)-100000,0)</f>
        <v>0</v>
      </c>
      <c r="AF20" s="216"/>
      <c r="AG20" s="217">
        <f ca="1">IF($Z20+$AA20&gt;=100000,100000,$Z20+$AA20)</f>
        <v>0</v>
      </c>
      <c r="AH20" s="217">
        <f>IF(COUNTA($E20)+COUNTA($H20:$M20)+COUNTA($O20)+COUNTA($Q20)+COUNTA($S20)=0,0,380000)</f>
        <v>0</v>
      </c>
      <c r="AI20" s="217">
        <f>IF(OR($K20="身体障害者手帳3級",$K20="身体障害者手帳4級",$K20="身体障害者手帳5級",$K20="身体障害者手帳6級",
$L20="療育手帳B",
$M20="精神障害者保健福祉手帳2級",$M20="精神障害者保健福祉手帳3級"),
270000,0)</f>
        <v>0</v>
      </c>
      <c r="AJ20" s="217">
        <f>IF(OR($K20="身体障害者手帳1級",$K20="身体障害者手帳2級",
$L20="療育手帳A",
$M20="精神障害者保健福祉手帳1級"),
400000,0)</f>
        <v>0</v>
      </c>
      <c r="AK20" s="217">
        <f>IF(I20="○(該当)",IF($Z20+$AA20+$AB20-$AG20&gt;=270000,270000,$Z20+$AA20+$AB20-$AG20),0)</f>
        <v>0</v>
      </c>
      <c r="AL20" s="217">
        <f>IF(H20="○(該当)",IF($Z20+$AA20+$AB20-$AG20&gt;=350000,350000,$Z20+$AA20+$AB20-$AG20),0)</f>
        <v>0</v>
      </c>
      <c r="AM20" s="216"/>
      <c r="AN20" s="219" t="str">
        <f>IF(OR($K20="身体障害者手帳1級",$K20="身体障害者手帳2級",$K20="身体障害者手帳3級",$K20="身体障害者手帳4級",
$L20="療育手帳A",$L20="療育手帳B",
$M20="精神障害者保健福祉手帳1級",$M20="精神障害者保健福祉手帳2級"),"該当","非該当")</f>
        <v>非該当</v>
      </c>
      <c r="AO20" s="159"/>
      <c r="AP20" s="159"/>
      <c r="AQ20" s="159"/>
      <c r="AR20" s="159"/>
      <c r="AS20" s="159"/>
      <c r="AT20" s="159"/>
      <c r="AU20" s="159"/>
      <c r="AV20" s="159"/>
      <c r="AW20" s="159"/>
      <c r="AX20" s="159"/>
      <c r="AY20" s="159"/>
      <c r="AZ20" s="159"/>
      <c r="BA20" s="159"/>
      <c r="BB20" s="159"/>
      <c r="BC20" s="159"/>
    </row>
    <row r="21" spans="1:55" ht="9.9499999999999993" customHeight="1" x14ac:dyDescent="0.15">
      <c r="A21" s="157"/>
      <c r="B21" s="174"/>
      <c r="C21" s="201"/>
      <c r="D21" s="202"/>
      <c r="E21" s="203"/>
      <c r="F21" s="220"/>
      <c r="G21" s="202"/>
      <c r="H21" s="203"/>
      <c r="I21" s="205"/>
      <c r="J21" s="206"/>
      <c r="K21" s="203"/>
      <c r="L21" s="207"/>
      <c r="M21" s="205"/>
      <c r="N21" s="206"/>
      <c r="O21" s="221"/>
      <c r="P21" s="222"/>
      <c r="Q21" s="223"/>
      <c r="R21" s="222"/>
      <c r="S21" s="223"/>
      <c r="T21" s="220"/>
      <c r="U21" s="224"/>
      <c r="V21" s="157"/>
      <c r="W21" s="159"/>
      <c r="X21" s="208"/>
      <c r="Y21" s="159"/>
      <c r="Z21" s="225"/>
      <c r="AA21" s="226"/>
      <c r="AB21" s="227"/>
      <c r="AC21" s="159"/>
      <c r="AD21" s="209"/>
      <c r="AE21" s="210"/>
      <c r="AF21" s="159"/>
      <c r="AG21" s="209"/>
      <c r="AH21" s="159"/>
      <c r="AI21" s="159"/>
      <c r="AJ21" s="159"/>
      <c r="AK21" s="159"/>
      <c r="AL21" s="210"/>
      <c r="AM21" s="159"/>
      <c r="AN21" s="211"/>
      <c r="AO21" s="159"/>
      <c r="AP21" s="159"/>
      <c r="AQ21" s="159"/>
      <c r="AR21" s="159"/>
      <c r="AS21" s="159"/>
      <c r="AT21" s="159"/>
      <c r="AU21" s="159"/>
      <c r="AV21" s="159"/>
      <c r="AW21" s="159"/>
      <c r="AX21" s="159"/>
      <c r="AY21" s="159"/>
      <c r="AZ21" s="159"/>
      <c r="BA21" s="159"/>
      <c r="BB21" s="159"/>
      <c r="BC21" s="159"/>
    </row>
    <row r="22" spans="1:55" ht="36" customHeight="1" x14ac:dyDescent="0.15">
      <c r="A22" s="157"/>
      <c r="B22" s="174"/>
      <c r="C22" s="212" t="s">
        <v>40</v>
      </c>
      <c r="D22" s="157"/>
      <c r="E22" s="307"/>
      <c r="F22" s="213" t="s">
        <v>52</v>
      </c>
      <c r="G22" s="157"/>
      <c r="H22" s="308"/>
      <c r="I22" s="308"/>
      <c r="J22" s="214"/>
      <c r="K22" s="309"/>
      <c r="L22" s="309"/>
      <c r="M22" s="309"/>
      <c r="N22" s="214"/>
      <c r="O22" s="310"/>
      <c r="P22" s="213" t="s">
        <v>59</v>
      </c>
      <c r="Q22" s="310"/>
      <c r="R22" s="213" t="s">
        <v>59</v>
      </c>
      <c r="S22" s="310"/>
      <c r="T22" s="213" t="s">
        <v>59</v>
      </c>
      <c r="U22" s="213"/>
      <c r="V22" s="157"/>
      <c r="W22" s="159"/>
      <c r="X22" s="215">
        <v>4</v>
      </c>
      <c r="Y22" s="216"/>
      <c r="Z22" s="217">
        <f ca="1">IFERROR(INDEX(OFFSET(所得計算!$E$4:$F$9,0,($X22-1)*2),MATCH("●",OFFSET(所得計算!$F$4:$F$9,0,($X22-1)*2),0),1),"na")</f>
        <v>0</v>
      </c>
      <c r="AA22" s="217">
        <f ca="1">IFERROR(INDEX(OFFSET(所得計算!$E$15:$F$69,0,($X22-1)*2),MATCH("●",OFFSET(所得計算!$F$15:$F$69,0,($X22-1)*2),0),1),"na")</f>
        <v>0</v>
      </c>
      <c r="AB22" s="217">
        <f>S22</f>
        <v>0</v>
      </c>
      <c r="AC22" s="216"/>
      <c r="AD22" s="217">
        <f>IF(OR(COUNTIF($AJ$16:$AJ$30,"&gt;0")+$M$62&gt;0,$M$54+$M$56&gt;0),IF($Z22&gt;=8500000,ROUNDUP((IF($Z22&gt;10000000,10000000,$Z22)-8500000)*0.1,0),0),0)</f>
        <v>0</v>
      </c>
      <c r="AE22" s="217">
        <f ca="1">IF(AND($Z22&gt;0,$AA22&gt;0,$Z22+$AA22&gt;100000),IF($Z22&gt;100000,100000,$Z22)+IF($AA22&gt;100000,100000,$AA22)-100000,0)</f>
        <v>0</v>
      </c>
      <c r="AF22" s="216"/>
      <c r="AG22" s="217">
        <f ca="1">IF($Z22+$AA22&gt;=100000,100000,$Z22+$AA22)</f>
        <v>0</v>
      </c>
      <c r="AH22" s="217">
        <f>IF(COUNTA($E22)+COUNTA($H22:$M22)+COUNTA($O22)+COUNTA($Q22)+COUNTA($S22)=0,0,380000)</f>
        <v>0</v>
      </c>
      <c r="AI22" s="217">
        <f>IF(OR($K22="身体障害者手帳3級",$K22="身体障害者手帳4級",$K22="身体障害者手帳5級",$K22="身体障害者手帳6級",
$L22="療育手帳B",
$M22="精神障害者保健福祉手帳2級",$M22="精神障害者保健福祉手帳3級"),
270000,0)</f>
        <v>0</v>
      </c>
      <c r="AJ22" s="217">
        <f>IF(OR($K22="身体障害者手帳1級",$K22="身体障害者手帳2級",
$L22="療育手帳A",
$M22="精神障害者保健福祉手帳1級"),
400000,0)</f>
        <v>0</v>
      </c>
      <c r="AK22" s="217">
        <f>IF(I22="○(該当)",IF($Z22+$AA22+$AB22-$AG22&gt;=270000,270000,$Z22+$AA22+$AB22-$AG22),0)</f>
        <v>0</v>
      </c>
      <c r="AL22" s="217">
        <f>IF(H22="○(該当)",IF($Z22+$AA22+$AB22-$AG22&gt;=350000,350000,$Z22+$AA22+$AB22-$AG22),0)</f>
        <v>0</v>
      </c>
      <c r="AM22" s="216"/>
      <c r="AN22" s="219" t="str">
        <f>IF(OR($K22="身体障害者手帳1級",$K22="身体障害者手帳2級",$K22="身体障害者手帳3級",$K22="身体障害者手帳4級",
$L22="療育手帳A",$L22="療育手帳B",
$M22="精神障害者保健福祉手帳1級",$M22="精神障害者保健福祉手帳2級"),"該当","非該当")</f>
        <v>非該当</v>
      </c>
      <c r="AO22" s="159"/>
      <c r="AP22" s="159"/>
      <c r="AQ22" s="159"/>
      <c r="AR22" s="159"/>
      <c r="AS22" s="159"/>
      <c r="AT22" s="159"/>
      <c r="AU22" s="159"/>
      <c r="AV22" s="159"/>
      <c r="AW22" s="159"/>
      <c r="AX22" s="159"/>
      <c r="AY22" s="159"/>
      <c r="AZ22" s="159"/>
      <c r="BA22" s="159"/>
      <c r="BB22" s="159"/>
      <c r="BC22" s="159"/>
    </row>
    <row r="23" spans="1:55" ht="9.9499999999999993" customHeight="1" x14ac:dyDescent="0.15">
      <c r="A23" s="157"/>
      <c r="B23" s="174"/>
      <c r="C23" s="201"/>
      <c r="D23" s="202"/>
      <c r="E23" s="203"/>
      <c r="F23" s="220"/>
      <c r="G23" s="202"/>
      <c r="H23" s="203"/>
      <c r="I23" s="205"/>
      <c r="J23" s="206"/>
      <c r="K23" s="203"/>
      <c r="L23" s="207"/>
      <c r="M23" s="205"/>
      <c r="N23" s="206"/>
      <c r="O23" s="221"/>
      <c r="P23" s="222"/>
      <c r="Q23" s="223"/>
      <c r="R23" s="222"/>
      <c r="S23" s="223"/>
      <c r="T23" s="220"/>
      <c r="U23" s="224"/>
      <c r="V23" s="157"/>
      <c r="W23" s="159"/>
      <c r="X23" s="208"/>
      <c r="Y23" s="159"/>
      <c r="Z23" s="225"/>
      <c r="AA23" s="226"/>
      <c r="AB23" s="227"/>
      <c r="AC23" s="159"/>
      <c r="AD23" s="209"/>
      <c r="AE23" s="210"/>
      <c r="AF23" s="159"/>
      <c r="AG23" s="209"/>
      <c r="AH23" s="159"/>
      <c r="AI23" s="159"/>
      <c r="AJ23" s="159"/>
      <c r="AK23" s="159"/>
      <c r="AL23" s="210"/>
      <c r="AM23" s="159"/>
      <c r="AN23" s="211"/>
      <c r="AO23" s="159"/>
      <c r="AP23" s="159"/>
      <c r="AQ23" s="159"/>
      <c r="AR23" s="159"/>
      <c r="AS23" s="159"/>
      <c r="AT23" s="159"/>
      <c r="AU23" s="159"/>
      <c r="AV23" s="159"/>
      <c r="AW23" s="159"/>
      <c r="AX23" s="159"/>
      <c r="AY23" s="159"/>
      <c r="AZ23" s="159"/>
      <c r="BA23" s="159"/>
      <c r="BB23" s="159"/>
      <c r="BC23" s="159"/>
    </row>
    <row r="24" spans="1:55" ht="36" customHeight="1" x14ac:dyDescent="0.15">
      <c r="A24" s="157"/>
      <c r="B24" s="174"/>
      <c r="C24" s="212" t="s">
        <v>41</v>
      </c>
      <c r="D24" s="157"/>
      <c r="E24" s="307"/>
      <c r="F24" s="213" t="s">
        <v>52</v>
      </c>
      <c r="G24" s="157"/>
      <c r="H24" s="308"/>
      <c r="I24" s="308"/>
      <c r="J24" s="214"/>
      <c r="K24" s="309"/>
      <c r="L24" s="309"/>
      <c r="M24" s="309"/>
      <c r="N24" s="214"/>
      <c r="O24" s="310"/>
      <c r="P24" s="213" t="s">
        <v>59</v>
      </c>
      <c r="Q24" s="310"/>
      <c r="R24" s="213" t="s">
        <v>59</v>
      </c>
      <c r="S24" s="310"/>
      <c r="T24" s="213" t="s">
        <v>59</v>
      </c>
      <c r="U24" s="213"/>
      <c r="V24" s="157"/>
      <c r="W24" s="159"/>
      <c r="X24" s="215">
        <v>5</v>
      </c>
      <c r="Y24" s="216"/>
      <c r="Z24" s="217">
        <f ca="1">IFERROR(INDEX(OFFSET(所得計算!$E$4:$F$9,0,($X24-1)*2),MATCH("●",OFFSET(所得計算!$F$4:$F$9,0,($X24-1)*2),0),1),"na")</f>
        <v>0</v>
      </c>
      <c r="AA24" s="217">
        <f ca="1">IFERROR(INDEX(OFFSET(所得計算!$E$15:$F$69,0,($X24-1)*2),MATCH("●",OFFSET(所得計算!$F$15:$F$69,0,($X24-1)*2),0),1),"na")</f>
        <v>0</v>
      </c>
      <c r="AB24" s="217">
        <f>S24</f>
        <v>0</v>
      </c>
      <c r="AC24" s="216"/>
      <c r="AD24" s="217">
        <f>IF(OR(COUNTIF($AJ$16:$AJ$30,"&gt;0")+$M$62&gt;0,$M$54+$M$56&gt;0),IF($Z24&gt;=8500000,ROUNDUP((IF($Z24&gt;10000000,10000000,$Z24)-8500000)*0.1,0),0),0)</f>
        <v>0</v>
      </c>
      <c r="AE24" s="217">
        <f ca="1">IF(AND($Z24&gt;0,$AA24&gt;0,$Z24+$AA24&gt;100000),IF($Z24&gt;100000,100000,$Z24)+IF($AA24&gt;100000,100000,$AA24)-100000,0)</f>
        <v>0</v>
      </c>
      <c r="AF24" s="216"/>
      <c r="AG24" s="217">
        <f ca="1">IF($Z24+$AA24&gt;=100000,100000,$Z24+$AA24)</f>
        <v>0</v>
      </c>
      <c r="AH24" s="217">
        <f>IF(COUNTA($E24)+COUNTA($H24:$M24)+COUNTA($O24)+COUNTA($Q24)+COUNTA($S24)=0,0,380000)</f>
        <v>0</v>
      </c>
      <c r="AI24" s="217">
        <f>IF(OR($K24="身体障害者手帳3級",$K24="身体障害者手帳4級",$K24="身体障害者手帳5級",$K24="身体障害者手帳6級",
$L24="療育手帳B",
$M24="精神障害者保健福祉手帳2級",$M24="精神障害者保健福祉手帳3級"),
270000,0)</f>
        <v>0</v>
      </c>
      <c r="AJ24" s="217">
        <f>IF(OR($K24="身体障害者手帳1級",$K24="身体障害者手帳2級",
$L24="療育手帳A",
$M24="精神障害者保健福祉手帳1級"),
400000,0)</f>
        <v>0</v>
      </c>
      <c r="AK24" s="217">
        <f>IF(I24="○(該当)",IF($Z24+$AA24+$AB24-$AG24&gt;=270000,270000,$Z24+$AA24+$AB24-$AG24),0)</f>
        <v>0</v>
      </c>
      <c r="AL24" s="217">
        <f>IF(H24="○(該当)",IF($Z24+$AA24+$AB24-$AG24&gt;=350000,350000,$Z24+$AA24+$AB24-$AG24),0)</f>
        <v>0</v>
      </c>
      <c r="AM24" s="216"/>
      <c r="AN24" s="219" t="str">
        <f>IF(OR($K24="身体障害者手帳1級",$K24="身体障害者手帳2級",$K24="身体障害者手帳3級",$K24="身体障害者手帳4級",
$L24="療育手帳A",$L24="療育手帳B",
$M24="精神障害者保健福祉手帳1級",$M24="精神障害者保健福祉手帳2級"),"該当","非該当")</f>
        <v>非該当</v>
      </c>
      <c r="AO24" s="159"/>
      <c r="AP24" s="159"/>
      <c r="AQ24" s="159"/>
      <c r="AR24" s="159"/>
      <c r="AS24" s="159"/>
      <c r="AT24" s="159"/>
      <c r="AU24" s="159"/>
      <c r="AV24" s="159"/>
      <c r="AW24" s="159"/>
      <c r="AX24" s="159"/>
      <c r="AY24" s="159"/>
      <c r="AZ24" s="159"/>
      <c r="BA24" s="159"/>
      <c r="BB24" s="159"/>
      <c r="BC24" s="159"/>
    </row>
    <row r="25" spans="1:55" ht="9.9499999999999993" customHeight="1" x14ac:dyDescent="0.15">
      <c r="A25" s="157"/>
      <c r="B25" s="174"/>
      <c r="C25" s="201"/>
      <c r="D25" s="202"/>
      <c r="E25" s="203"/>
      <c r="F25" s="220"/>
      <c r="G25" s="202"/>
      <c r="H25" s="203"/>
      <c r="I25" s="205"/>
      <c r="J25" s="206"/>
      <c r="K25" s="203"/>
      <c r="L25" s="207"/>
      <c r="M25" s="205"/>
      <c r="N25" s="206"/>
      <c r="O25" s="221"/>
      <c r="P25" s="222"/>
      <c r="Q25" s="223"/>
      <c r="R25" s="222"/>
      <c r="S25" s="223"/>
      <c r="T25" s="220"/>
      <c r="U25" s="224"/>
      <c r="V25" s="157"/>
      <c r="W25" s="159"/>
      <c r="X25" s="208"/>
      <c r="Y25" s="159"/>
      <c r="Z25" s="225"/>
      <c r="AA25" s="226"/>
      <c r="AB25" s="227"/>
      <c r="AC25" s="159"/>
      <c r="AD25" s="209"/>
      <c r="AE25" s="210"/>
      <c r="AF25" s="159"/>
      <c r="AG25" s="209"/>
      <c r="AH25" s="159"/>
      <c r="AI25" s="159"/>
      <c r="AJ25" s="159"/>
      <c r="AK25" s="159"/>
      <c r="AL25" s="210"/>
      <c r="AM25" s="159"/>
      <c r="AN25" s="211"/>
      <c r="AO25" s="159"/>
      <c r="AP25" s="159"/>
      <c r="AQ25" s="159"/>
      <c r="AR25" s="159"/>
      <c r="AS25" s="159"/>
      <c r="AT25" s="159"/>
      <c r="AU25" s="159"/>
      <c r="AV25" s="159"/>
      <c r="AW25" s="159"/>
      <c r="AX25" s="159"/>
      <c r="AY25" s="159"/>
      <c r="AZ25" s="159"/>
      <c r="BA25" s="159"/>
      <c r="BB25" s="159"/>
      <c r="BC25" s="159"/>
    </row>
    <row r="26" spans="1:55" ht="36" customHeight="1" x14ac:dyDescent="0.15">
      <c r="A26" s="157"/>
      <c r="B26" s="174"/>
      <c r="C26" s="212" t="s">
        <v>42</v>
      </c>
      <c r="D26" s="157"/>
      <c r="E26" s="307"/>
      <c r="F26" s="213" t="s">
        <v>52</v>
      </c>
      <c r="G26" s="157"/>
      <c r="H26" s="308"/>
      <c r="I26" s="308"/>
      <c r="J26" s="214"/>
      <c r="K26" s="309"/>
      <c r="L26" s="309"/>
      <c r="M26" s="309"/>
      <c r="N26" s="214"/>
      <c r="O26" s="310"/>
      <c r="P26" s="213" t="s">
        <v>59</v>
      </c>
      <c r="Q26" s="310"/>
      <c r="R26" s="213" t="s">
        <v>59</v>
      </c>
      <c r="S26" s="310"/>
      <c r="T26" s="213" t="s">
        <v>59</v>
      </c>
      <c r="U26" s="213"/>
      <c r="V26" s="157"/>
      <c r="W26" s="159"/>
      <c r="X26" s="215">
        <v>6</v>
      </c>
      <c r="Y26" s="216"/>
      <c r="Z26" s="217">
        <f ca="1">IFERROR(INDEX(OFFSET(所得計算!$E$4:$F$9,0,($X26-1)*2),MATCH("●",OFFSET(所得計算!$F$4:$F$9,0,($X26-1)*2),0),1),"na")</f>
        <v>0</v>
      </c>
      <c r="AA26" s="217">
        <f ca="1">IFERROR(INDEX(OFFSET(所得計算!$E$15:$F$69,0,($X26-1)*2),MATCH("●",OFFSET(所得計算!$F$15:$F$69,0,($X26-1)*2),0),1),"na")</f>
        <v>0</v>
      </c>
      <c r="AB26" s="217">
        <f>S26</f>
        <v>0</v>
      </c>
      <c r="AC26" s="216"/>
      <c r="AD26" s="217">
        <f>IF(OR(COUNTIF($AJ$16:$AJ$30,"&gt;0")+$M$62&gt;0,$M$54+$M$56&gt;0),IF($Z26&gt;=8500000,ROUNDUP((IF($Z26&gt;10000000,10000000,$Z26)-8500000)*0.1,0),0),0)</f>
        <v>0</v>
      </c>
      <c r="AE26" s="217">
        <f ca="1">IF(AND($Z26&gt;0,$AA26&gt;0,$Z26+$AA26&gt;100000),IF($Z26&gt;100000,100000,$Z26)+IF($AA26&gt;100000,100000,$AA26)-100000,0)</f>
        <v>0</v>
      </c>
      <c r="AF26" s="216"/>
      <c r="AG26" s="217">
        <f ca="1">IF($Z26+$AA26&gt;=100000,100000,$Z26+$AA26)</f>
        <v>0</v>
      </c>
      <c r="AH26" s="217">
        <f>IF(COUNTA($E26)+COUNTA($H26:$M26)+COUNTA($O26)+COUNTA($Q26)+COUNTA($S26)=0,0,380000)</f>
        <v>0</v>
      </c>
      <c r="AI26" s="217">
        <f>IF(OR($K26="身体障害者手帳3級",$K26="身体障害者手帳4級",$K26="身体障害者手帳5級",$K26="身体障害者手帳6級",
$L26="療育手帳B",
$M26="精神障害者保健福祉手帳2級",$M26="精神障害者保健福祉手帳3級"),
270000,0)</f>
        <v>0</v>
      </c>
      <c r="AJ26" s="217">
        <f>IF(OR($K26="身体障害者手帳1級",$K26="身体障害者手帳2級",
$L26="療育手帳A",
$M26="精神障害者保健福祉手帳1級"),
400000,0)</f>
        <v>0</v>
      </c>
      <c r="AK26" s="217">
        <f>IF(I26="○(該当)",IF($Z26+$AA26+$AB26-$AG26&gt;=270000,270000,$Z26+$AA26+$AB26-$AG26),0)</f>
        <v>0</v>
      </c>
      <c r="AL26" s="217">
        <f>IF(H26="○(該当)",IF($Z26+$AA26+$AB26-$AG26&gt;=350000,350000,$Z26+$AA26+$AB26-$AG26),0)</f>
        <v>0</v>
      </c>
      <c r="AM26" s="216"/>
      <c r="AN26" s="219" t="str">
        <f>IF(OR($K26="身体障害者手帳1級",$K26="身体障害者手帳2級",$K26="身体障害者手帳3級",$K26="身体障害者手帳4級",
$L26="療育手帳A",$L26="療育手帳B",
$M26="精神障害者保健福祉手帳1級",$M26="精神障害者保健福祉手帳2級"),"該当","非該当")</f>
        <v>非該当</v>
      </c>
      <c r="AO26" s="159"/>
      <c r="AP26" s="159"/>
      <c r="AQ26" s="159"/>
      <c r="AR26" s="159"/>
      <c r="AS26" s="159"/>
      <c r="AT26" s="159"/>
      <c r="AU26" s="159"/>
      <c r="AV26" s="159"/>
      <c r="AW26" s="159"/>
      <c r="AX26" s="159"/>
      <c r="AY26" s="159"/>
      <c r="AZ26" s="159"/>
      <c r="BA26" s="159"/>
      <c r="BB26" s="159"/>
      <c r="BC26" s="159"/>
    </row>
    <row r="27" spans="1:55" ht="9.9499999999999993" customHeight="1" x14ac:dyDescent="0.15">
      <c r="A27" s="157"/>
      <c r="B27" s="174"/>
      <c r="C27" s="201"/>
      <c r="D27" s="202"/>
      <c r="E27" s="203"/>
      <c r="F27" s="204"/>
      <c r="G27" s="202"/>
      <c r="H27" s="203"/>
      <c r="I27" s="205"/>
      <c r="J27" s="206"/>
      <c r="K27" s="203"/>
      <c r="L27" s="207"/>
      <c r="M27" s="205"/>
      <c r="N27" s="206"/>
      <c r="O27" s="203"/>
      <c r="P27" s="202"/>
      <c r="Q27" s="207"/>
      <c r="R27" s="202"/>
      <c r="S27" s="207"/>
      <c r="T27" s="204"/>
      <c r="U27" s="176"/>
      <c r="V27" s="157"/>
      <c r="W27" s="159"/>
      <c r="X27" s="229"/>
      <c r="Y27" s="198"/>
      <c r="Z27" s="230"/>
      <c r="AA27" s="198"/>
      <c r="AB27" s="231"/>
      <c r="AC27" s="198"/>
      <c r="AD27" s="230"/>
      <c r="AE27" s="231"/>
      <c r="AF27" s="198"/>
      <c r="AG27" s="230"/>
      <c r="AH27" s="198"/>
      <c r="AI27" s="198"/>
      <c r="AJ27" s="198"/>
      <c r="AK27" s="198"/>
      <c r="AL27" s="231"/>
      <c r="AM27" s="198"/>
      <c r="AN27" s="232"/>
      <c r="AO27" s="159"/>
      <c r="AP27" s="159"/>
      <c r="AQ27" s="159"/>
      <c r="AR27" s="159"/>
      <c r="AS27" s="159"/>
      <c r="AT27" s="159"/>
      <c r="AU27" s="159"/>
      <c r="AV27" s="159"/>
      <c r="AW27" s="159"/>
      <c r="AX27" s="159"/>
      <c r="AY27" s="159"/>
      <c r="AZ27" s="159"/>
      <c r="BA27" s="159"/>
      <c r="BB27" s="159"/>
      <c r="BC27" s="159"/>
    </row>
    <row r="28" spans="1:55" ht="36" customHeight="1" x14ac:dyDescent="0.15">
      <c r="A28" s="157"/>
      <c r="B28" s="174"/>
      <c r="C28" s="212" t="s">
        <v>467</v>
      </c>
      <c r="D28" s="157"/>
      <c r="E28" s="307"/>
      <c r="F28" s="213" t="s">
        <v>52</v>
      </c>
      <c r="G28" s="157"/>
      <c r="H28" s="308"/>
      <c r="I28" s="308"/>
      <c r="J28" s="214"/>
      <c r="K28" s="309"/>
      <c r="L28" s="309"/>
      <c r="M28" s="309"/>
      <c r="N28" s="214"/>
      <c r="O28" s="310"/>
      <c r="P28" s="213" t="s">
        <v>59</v>
      </c>
      <c r="Q28" s="310"/>
      <c r="R28" s="213" t="s">
        <v>59</v>
      </c>
      <c r="S28" s="310"/>
      <c r="T28" s="213" t="s">
        <v>59</v>
      </c>
      <c r="U28" s="213"/>
      <c r="V28" s="157"/>
      <c r="W28" s="159"/>
      <c r="X28" s="215">
        <v>7</v>
      </c>
      <c r="Y28" s="216"/>
      <c r="Z28" s="217">
        <f ca="1">IFERROR(INDEX(OFFSET(所得計算!$E$4:$F$9,0,($X28-1)*2),MATCH("●",OFFSET(所得計算!$F$4:$F$9,0,($X28-1)*2),0),1),"na")</f>
        <v>0</v>
      </c>
      <c r="AA28" s="217">
        <f ca="1">IFERROR(INDEX(OFFSET(所得計算!$E$15:$F$69,0,($X28-1)*2),MATCH("●",OFFSET(所得計算!$F$15:$F$69,0,($X28-1)*2),0),1),"na")</f>
        <v>0</v>
      </c>
      <c r="AB28" s="217">
        <f>S28</f>
        <v>0</v>
      </c>
      <c r="AC28" s="216"/>
      <c r="AD28" s="217">
        <f>IF(OR(COUNTIF($AJ$16:$AJ$30,"&gt;0")+$M$62&gt;0,$M$54+$M$56&gt;0),IF($Z28&gt;=8500000,ROUNDUP((IF($Z28&gt;10000000,10000000,$Z28)-8500000)*0.1,0),0),0)</f>
        <v>0</v>
      </c>
      <c r="AE28" s="217">
        <f ca="1">IF(AND($Z28&gt;0,$AA28&gt;0,$Z28+$AA28&gt;100000),IF($Z28&gt;100000,100000,$Z28)+IF($AA28&gt;100000,100000,$AA28)-100000,0)</f>
        <v>0</v>
      </c>
      <c r="AF28" s="216"/>
      <c r="AG28" s="217">
        <f ca="1">IF($Z28+$AA28&gt;=100000,100000,$Z28+$AA28)</f>
        <v>0</v>
      </c>
      <c r="AH28" s="217">
        <f>IF(COUNTA($E28)+COUNTA($H28:$M28)+COUNTA($O28)+COUNTA($Q28)+COUNTA($S28)=0,0,380000)</f>
        <v>0</v>
      </c>
      <c r="AI28" s="217">
        <f>IF(OR($K28="身体障害者手帳3級",$K28="身体障害者手帳4級",$K28="身体障害者手帳5級",$K28="身体障害者手帳6級",
$L28="療育手帳B",
$M28="精神障害者保健福祉手帳2級",$M28="精神障害者保健福祉手帳3級"),
270000,0)</f>
        <v>0</v>
      </c>
      <c r="AJ28" s="217">
        <f>IF(OR($K28="身体障害者手帳1級",$K28="身体障害者手帳2級",
$L28="療育手帳A",
$M28="精神障害者保健福祉手帳1級"),
400000,0)</f>
        <v>0</v>
      </c>
      <c r="AK28" s="217">
        <f>IF(I28="○(該当)",IF($Z28+$AA28+$AB28-$AG28&gt;=270000,270000,$Z28+$AA28+$AB28-$AG28),0)</f>
        <v>0</v>
      </c>
      <c r="AL28" s="217">
        <f>IF(H28="○(該当)",IF($Z28+$AA28+$AB28-$AG28&gt;=350000,350000,$Z28+$AA28+$AB28-$AG28),0)</f>
        <v>0</v>
      </c>
      <c r="AM28" s="216"/>
      <c r="AN28" s="219" t="str">
        <f>IF(OR($K28="身体障害者手帳1級",$K28="身体障害者手帳2級",$K28="身体障害者手帳3級",$K28="身体障害者手帳4級",
$L28="療育手帳A",$L28="療育手帳B",
$M28="精神障害者保健福祉手帳1級",$M28="精神障害者保健福祉手帳2級"),"該当","非該当")</f>
        <v>非該当</v>
      </c>
      <c r="AO28" s="159"/>
      <c r="AP28" s="159"/>
      <c r="AQ28" s="159"/>
      <c r="AR28" s="159"/>
      <c r="AS28" s="159"/>
      <c r="AT28" s="159"/>
      <c r="AU28" s="159"/>
      <c r="AV28" s="159"/>
      <c r="AW28" s="159"/>
      <c r="AX28" s="159"/>
      <c r="AY28" s="159"/>
      <c r="AZ28" s="159"/>
      <c r="BA28" s="159"/>
      <c r="BB28" s="159"/>
      <c r="BC28" s="159"/>
    </row>
    <row r="29" spans="1:55" ht="9.9499999999999993" customHeight="1" x14ac:dyDescent="0.15">
      <c r="A29" s="157"/>
      <c r="B29" s="174"/>
      <c r="C29" s="201"/>
      <c r="D29" s="202"/>
      <c r="E29" s="203"/>
      <c r="F29" s="220"/>
      <c r="G29" s="202"/>
      <c r="H29" s="203"/>
      <c r="I29" s="205"/>
      <c r="J29" s="206"/>
      <c r="K29" s="203"/>
      <c r="L29" s="207"/>
      <c r="M29" s="205"/>
      <c r="N29" s="206"/>
      <c r="O29" s="221"/>
      <c r="P29" s="222"/>
      <c r="Q29" s="223"/>
      <c r="R29" s="222"/>
      <c r="S29" s="223"/>
      <c r="T29" s="220"/>
      <c r="U29" s="224"/>
      <c r="V29" s="157"/>
      <c r="W29" s="159"/>
      <c r="X29" s="208"/>
      <c r="Y29" s="159"/>
      <c r="Z29" s="225"/>
      <c r="AA29" s="226"/>
      <c r="AB29" s="227"/>
      <c r="AC29" s="159"/>
      <c r="AD29" s="209"/>
      <c r="AE29" s="210"/>
      <c r="AF29" s="159"/>
      <c r="AG29" s="209"/>
      <c r="AH29" s="159"/>
      <c r="AI29" s="159"/>
      <c r="AJ29" s="159"/>
      <c r="AK29" s="159"/>
      <c r="AL29" s="210"/>
      <c r="AM29" s="159"/>
      <c r="AN29" s="211"/>
      <c r="AO29" s="159"/>
      <c r="AP29" s="159"/>
      <c r="AQ29" s="159"/>
      <c r="AR29" s="159"/>
      <c r="AS29" s="159"/>
      <c r="AT29" s="159"/>
      <c r="AU29" s="159"/>
      <c r="AV29" s="159"/>
      <c r="AW29" s="159"/>
      <c r="AX29" s="159"/>
      <c r="AY29" s="159"/>
      <c r="AZ29" s="159"/>
      <c r="BA29" s="159"/>
      <c r="BB29" s="159"/>
      <c r="BC29" s="159"/>
    </row>
    <row r="30" spans="1:55" ht="36" customHeight="1" x14ac:dyDescent="0.15">
      <c r="A30" s="157"/>
      <c r="B30" s="174"/>
      <c r="C30" s="212" t="s">
        <v>468</v>
      </c>
      <c r="D30" s="157"/>
      <c r="E30" s="307"/>
      <c r="F30" s="213" t="s">
        <v>52</v>
      </c>
      <c r="G30" s="157"/>
      <c r="H30" s="308"/>
      <c r="I30" s="308"/>
      <c r="J30" s="214"/>
      <c r="K30" s="309"/>
      <c r="L30" s="309"/>
      <c r="M30" s="309"/>
      <c r="N30" s="214"/>
      <c r="O30" s="310"/>
      <c r="P30" s="213" t="s">
        <v>59</v>
      </c>
      <c r="Q30" s="310"/>
      <c r="R30" s="213" t="s">
        <v>59</v>
      </c>
      <c r="S30" s="310"/>
      <c r="T30" s="213" t="s">
        <v>59</v>
      </c>
      <c r="U30" s="213"/>
      <c r="V30" s="157"/>
      <c r="W30" s="159"/>
      <c r="X30" s="215">
        <v>8</v>
      </c>
      <c r="Y30" s="216"/>
      <c r="Z30" s="217">
        <f ca="1">IFERROR(INDEX(OFFSET(所得計算!$E$4:$F$9,0,($X30-1)*2),MATCH("●",OFFSET(所得計算!$F$4:$F$9,0,($X30-1)*2),0),1),"na")</f>
        <v>0</v>
      </c>
      <c r="AA30" s="217">
        <f ca="1">IFERROR(INDEX(OFFSET(所得計算!$E$15:$F$69,0,($X30-1)*2),MATCH("●",OFFSET(所得計算!$F$15:$F$69,0,($X30-1)*2),0),1),"na")</f>
        <v>0</v>
      </c>
      <c r="AB30" s="217">
        <f>S30</f>
        <v>0</v>
      </c>
      <c r="AC30" s="216"/>
      <c r="AD30" s="217">
        <f>IF(OR(COUNTIF($AJ$16:$AJ$30,"&gt;0")+$M$62&gt;0,$M$54+$M$56&gt;0),IF($Z30&gt;=8500000,ROUNDUP((IF($Z30&gt;10000000,10000000,$Z30)-8500000)*0.1,0),0),0)</f>
        <v>0</v>
      </c>
      <c r="AE30" s="217">
        <f ca="1">IF(AND($Z30&gt;0,$AA30&gt;0,$Z30+$AA30&gt;100000),IF($Z30&gt;100000,100000,$Z30)+IF($AA30&gt;100000,100000,$AA30)-100000,0)</f>
        <v>0</v>
      </c>
      <c r="AF30" s="216"/>
      <c r="AG30" s="217">
        <f ca="1">IF($Z30+$AA30&gt;=100000,100000,$Z30+$AA30)</f>
        <v>0</v>
      </c>
      <c r="AH30" s="217">
        <f>IF(COUNTA($E30)+COUNTA($H30:$M30)+COUNTA($O30)+COUNTA($Q30)+COUNTA($S30)=0,0,380000)</f>
        <v>0</v>
      </c>
      <c r="AI30" s="217">
        <f>IF(OR($K30="身体障害者手帳3級",$K30="身体障害者手帳4級",$K30="身体障害者手帳5級",$K30="身体障害者手帳6級",
$L30="療育手帳B",
$M30="精神障害者保健福祉手帳2級",$M30="精神障害者保健福祉手帳3級"),
270000,0)</f>
        <v>0</v>
      </c>
      <c r="AJ30" s="217">
        <f>IF(OR($K30="身体障害者手帳1級",$K30="身体障害者手帳2級",
$L30="療育手帳A",
$M30="精神障害者保健福祉手帳1級"),
400000,0)</f>
        <v>0</v>
      </c>
      <c r="AK30" s="217">
        <f>IF(I30="○(該当)",IF($Z30+$AA30+$AB30-$AG30&gt;=270000,270000,$Z30+$AA30+$AB30-$AG30),0)</f>
        <v>0</v>
      </c>
      <c r="AL30" s="217">
        <f>IF(H30="○(該当)",IF($Z30+$AA30+$AB30-$AG30&gt;=350000,350000,$Z30+$AA30+$AB30-$AG30),0)</f>
        <v>0</v>
      </c>
      <c r="AM30" s="216"/>
      <c r="AN30" s="219" t="str">
        <f>IF(OR($K30="身体障害者手帳1級",$K30="身体障害者手帳2級",$K30="身体障害者手帳3級",$K30="身体障害者手帳4級",
$L30="療育手帳A",$L30="療育手帳B",
$M30="精神障害者保健福祉手帳1級",$M30="精神障害者保健福祉手帳2級"),"該当","非該当")</f>
        <v>非該当</v>
      </c>
      <c r="AO30" s="159"/>
      <c r="AP30" s="159"/>
      <c r="AQ30" s="159"/>
      <c r="AR30" s="159"/>
      <c r="AS30" s="159"/>
      <c r="AT30" s="159"/>
      <c r="AU30" s="159"/>
      <c r="AV30" s="159"/>
      <c r="AW30" s="159"/>
      <c r="AX30" s="159"/>
      <c r="AY30" s="159"/>
      <c r="AZ30" s="159"/>
      <c r="BA30" s="159"/>
      <c r="BB30" s="159"/>
      <c r="BC30" s="159"/>
    </row>
    <row r="31" spans="1:55" ht="9.9499999999999993" customHeight="1" x14ac:dyDescent="0.15">
      <c r="A31" s="157"/>
      <c r="B31" s="174"/>
      <c r="C31" s="201"/>
      <c r="D31" s="202"/>
      <c r="E31" s="203"/>
      <c r="F31" s="204"/>
      <c r="G31" s="202"/>
      <c r="H31" s="203"/>
      <c r="I31" s="205"/>
      <c r="J31" s="206"/>
      <c r="K31" s="203"/>
      <c r="L31" s="207"/>
      <c r="M31" s="205"/>
      <c r="N31" s="206"/>
      <c r="O31" s="203"/>
      <c r="P31" s="202"/>
      <c r="Q31" s="207"/>
      <c r="R31" s="202"/>
      <c r="S31" s="207"/>
      <c r="T31" s="204"/>
      <c r="U31" s="176"/>
      <c r="V31" s="157"/>
      <c r="W31" s="159"/>
      <c r="X31" s="229"/>
      <c r="Y31" s="198"/>
      <c r="Z31" s="230"/>
      <c r="AA31" s="198"/>
      <c r="AB31" s="231"/>
      <c r="AC31" s="198"/>
      <c r="AD31" s="230"/>
      <c r="AE31" s="231"/>
      <c r="AF31" s="198"/>
      <c r="AG31" s="230"/>
      <c r="AH31" s="198"/>
      <c r="AI31" s="198"/>
      <c r="AJ31" s="198"/>
      <c r="AK31" s="198"/>
      <c r="AL31" s="231"/>
      <c r="AM31" s="198"/>
      <c r="AN31" s="232"/>
      <c r="AO31" s="159"/>
      <c r="AP31" s="159"/>
      <c r="AQ31" s="159"/>
      <c r="AR31" s="159"/>
      <c r="AS31" s="159"/>
      <c r="AT31" s="159"/>
      <c r="AU31" s="159"/>
      <c r="AV31" s="159"/>
      <c r="AW31" s="159"/>
      <c r="AX31" s="159"/>
      <c r="AY31" s="159"/>
      <c r="AZ31" s="159"/>
      <c r="BA31" s="159"/>
      <c r="BB31" s="159"/>
      <c r="BC31" s="159"/>
    </row>
    <row r="32" spans="1:55" ht="20.100000000000001" customHeight="1" x14ac:dyDescent="0.15">
      <c r="A32" s="157"/>
      <c r="B32" s="174"/>
      <c r="C32" s="157"/>
      <c r="D32" s="157"/>
      <c r="E32" s="157"/>
      <c r="F32" s="157"/>
      <c r="G32" s="157"/>
      <c r="H32" s="157"/>
      <c r="I32" s="157"/>
      <c r="J32" s="157"/>
      <c r="K32" s="157"/>
      <c r="L32" s="157"/>
      <c r="M32" s="157"/>
      <c r="N32" s="157"/>
      <c r="O32" s="157"/>
      <c r="P32" s="157"/>
      <c r="Q32" s="157"/>
      <c r="R32" s="157"/>
      <c r="S32" s="157"/>
      <c r="T32" s="157"/>
      <c r="U32" s="176"/>
      <c r="V32" s="157"/>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row>
    <row r="33" spans="1:55" ht="20.100000000000001" customHeight="1" x14ac:dyDescent="0.15">
      <c r="A33" s="157"/>
      <c r="B33" s="174"/>
      <c r="C33" s="157"/>
      <c r="D33" s="157"/>
      <c r="E33" s="157"/>
      <c r="F33" s="157"/>
      <c r="G33" s="157"/>
      <c r="H33" s="157"/>
      <c r="I33" s="157"/>
      <c r="J33" s="157"/>
      <c r="K33" s="157"/>
      <c r="L33" s="157"/>
      <c r="M33" s="157"/>
      <c r="N33" s="157"/>
      <c r="O33" s="157"/>
      <c r="P33" s="157"/>
      <c r="Q33" s="157"/>
      <c r="R33" s="157"/>
      <c r="S33" s="157"/>
      <c r="T33" s="157"/>
      <c r="U33" s="176"/>
      <c r="V33" s="157"/>
      <c r="W33" s="159"/>
      <c r="X33" s="233" t="s">
        <v>77</v>
      </c>
      <c r="Y33" s="234"/>
      <c r="Z33" s="235"/>
      <c r="AA33" s="217">
        <f ca="1">SUM($Z$16:$AB$16,$Z$18:$AB$18,$Z$20:$AB$20,$Z$22:$AB$22,$Z$24:$AB$24,$Z$26:$AB$26)-SUM($AD$16:$AE$16,$AD$18:$AE$18,$AD$20:$AE$20,$AD$22:$AE$22,$AD$24:$AE$24,$AD$26:$AE$26)</f>
        <v>0</v>
      </c>
      <c r="AB33" s="159"/>
      <c r="AC33" s="159"/>
      <c r="AD33" s="351" t="s">
        <v>156</v>
      </c>
      <c r="AE33" s="352"/>
      <c r="AF33" s="159"/>
      <c r="AG33" s="236" t="s">
        <v>150</v>
      </c>
      <c r="AH33" s="189"/>
      <c r="AI33" s="189"/>
      <c r="AJ33" s="189"/>
      <c r="AK33" s="189"/>
      <c r="AL33" s="189"/>
      <c r="AM33" s="189"/>
      <c r="AN33" s="189"/>
      <c r="AO33" s="189"/>
      <c r="AP33" s="237"/>
      <c r="AQ33" s="159"/>
      <c r="AR33" s="159"/>
      <c r="AS33" s="159"/>
      <c r="AT33" s="159"/>
      <c r="AU33" s="159"/>
      <c r="AV33" s="159"/>
      <c r="AW33" s="159"/>
      <c r="AX33" s="159"/>
      <c r="AY33" s="159"/>
      <c r="AZ33" s="159"/>
      <c r="BA33" s="159"/>
      <c r="BB33" s="159"/>
      <c r="BC33" s="159"/>
    </row>
    <row r="34" spans="1:55" ht="20.100000000000001" customHeight="1" x14ac:dyDescent="0.15">
      <c r="A34" s="157"/>
      <c r="B34" s="174"/>
      <c r="C34" s="157"/>
      <c r="D34" s="157"/>
      <c r="E34" s="157"/>
      <c r="F34" s="157"/>
      <c r="G34" s="157"/>
      <c r="H34" s="157"/>
      <c r="I34" s="157"/>
      <c r="J34" s="157"/>
      <c r="K34" s="157"/>
      <c r="L34" s="157"/>
      <c r="M34" s="157"/>
      <c r="N34" s="157"/>
      <c r="O34" s="157"/>
      <c r="P34" s="157"/>
      <c r="Q34" s="157"/>
      <c r="R34" s="157"/>
      <c r="S34" s="157"/>
      <c r="T34" s="157"/>
      <c r="U34" s="176"/>
      <c r="V34" s="157"/>
      <c r="W34" s="159"/>
      <c r="X34" s="159"/>
      <c r="Y34" s="159"/>
      <c r="Z34" s="159"/>
      <c r="AA34" s="159"/>
      <c r="AB34" s="159"/>
      <c r="AC34" s="159"/>
      <c r="AD34" s="353"/>
      <c r="AE34" s="354"/>
      <c r="AF34" s="159"/>
      <c r="AG34" s="238" t="s">
        <v>145</v>
      </c>
      <c r="AH34" s="159"/>
      <c r="AI34" s="159"/>
      <c r="AJ34" s="159"/>
      <c r="AK34" s="159"/>
      <c r="AL34" s="159"/>
      <c r="AM34" s="159"/>
      <c r="AN34" s="159"/>
      <c r="AO34" s="159"/>
      <c r="AP34" s="210"/>
      <c r="AQ34" s="159"/>
      <c r="AR34" s="159"/>
      <c r="AS34" s="159"/>
      <c r="AT34" s="159"/>
      <c r="AU34" s="159"/>
      <c r="AV34" s="159"/>
      <c r="AW34" s="159"/>
      <c r="AX34" s="159"/>
      <c r="AY34" s="159"/>
      <c r="AZ34" s="159"/>
      <c r="BA34" s="159"/>
      <c r="BB34" s="159"/>
      <c r="BC34" s="159"/>
    </row>
    <row r="35" spans="1:55" ht="20.100000000000001" customHeight="1" x14ac:dyDescent="0.15">
      <c r="A35" s="157"/>
      <c r="B35" s="174"/>
      <c r="C35" s="157"/>
      <c r="D35" s="157"/>
      <c r="E35" s="157"/>
      <c r="F35" s="157"/>
      <c r="G35" s="157"/>
      <c r="H35" s="157"/>
      <c r="I35" s="157"/>
      <c r="J35" s="157"/>
      <c r="K35" s="157"/>
      <c r="L35" s="157"/>
      <c r="M35" s="157"/>
      <c r="N35" s="157"/>
      <c r="O35" s="157"/>
      <c r="P35" s="157"/>
      <c r="Q35" s="157"/>
      <c r="R35" s="157"/>
      <c r="S35" s="157"/>
      <c r="T35" s="157"/>
      <c r="U35" s="176"/>
      <c r="V35" s="157"/>
      <c r="W35" s="159"/>
      <c r="X35" s="159"/>
      <c r="Y35" s="159"/>
      <c r="Z35" s="159"/>
      <c r="AA35" s="159"/>
      <c r="AB35" s="159"/>
      <c r="AC35" s="159"/>
      <c r="AD35" s="353"/>
      <c r="AE35" s="354"/>
      <c r="AF35" s="159"/>
      <c r="AG35" s="239" t="s">
        <v>149</v>
      </c>
      <c r="AH35" s="159"/>
      <c r="AI35" s="159"/>
      <c r="AJ35" s="159"/>
      <c r="AK35" s="159"/>
      <c r="AL35" s="159"/>
      <c r="AM35" s="159"/>
      <c r="AN35" s="159"/>
      <c r="AO35" s="159"/>
      <c r="AP35" s="210"/>
      <c r="AQ35" s="159"/>
      <c r="AR35" s="159"/>
      <c r="AS35" s="159"/>
      <c r="AT35" s="159"/>
      <c r="AU35" s="159"/>
      <c r="AV35" s="159"/>
      <c r="AW35" s="159"/>
      <c r="AX35" s="159"/>
      <c r="AY35" s="159"/>
      <c r="AZ35" s="159"/>
      <c r="BA35" s="159"/>
      <c r="BB35" s="159"/>
      <c r="BC35" s="159"/>
    </row>
    <row r="36" spans="1:55" ht="20.100000000000001" customHeight="1" x14ac:dyDescent="0.15">
      <c r="A36" s="157"/>
      <c r="B36" s="174"/>
      <c r="C36" s="157"/>
      <c r="D36" s="157"/>
      <c r="E36" s="157"/>
      <c r="F36" s="157"/>
      <c r="G36" s="157"/>
      <c r="H36" s="157"/>
      <c r="I36" s="157"/>
      <c r="J36" s="157"/>
      <c r="K36" s="157"/>
      <c r="L36" s="157"/>
      <c r="M36" s="157"/>
      <c r="N36" s="157"/>
      <c r="O36" s="157"/>
      <c r="P36" s="157"/>
      <c r="Q36" s="157"/>
      <c r="R36" s="157"/>
      <c r="S36" s="157"/>
      <c r="T36" s="157"/>
      <c r="U36" s="176"/>
      <c r="V36" s="157"/>
      <c r="W36" s="159"/>
      <c r="X36" s="159"/>
      <c r="Y36" s="159"/>
      <c r="Z36" s="159"/>
      <c r="AA36" s="159"/>
      <c r="AB36" s="159"/>
      <c r="AC36" s="159"/>
      <c r="AD36" s="353"/>
      <c r="AE36" s="354"/>
      <c r="AF36" s="159"/>
      <c r="AG36" s="239" t="s">
        <v>151</v>
      </c>
      <c r="AH36" s="159"/>
      <c r="AI36" s="159"/>
      <c r="AJ36" s="159"/>
      <c r="AK36" s="159"/>
      <c r="AL36" s="159"/>
      <c r="AM36" s="159"/>
      <c r="AN36" s="159"/>
      <c r="AO36" s="159"/>
      <c r="AP36" s="210"/>
      <c r="AQ36" s="159"/>
      <c r="AR36" s="159"/>
      <c r="AS36" s="159"/>
      <c r="AT36" s="159"/>
      <c r="AU36" s="159"/>
      <c r="AV36" s="159"/>
      <c r="AW36" s="159"/>
      <c r="AX36" s="159"/>
      <c r="AY36" s="159"/>
      <c r="AZ36" s="159"/>
      <c r="BA36" s="159"/>
      <c r="BB36" s="159"/>
      <c r="BC36" s="159"/>
    </row>
    <row r="37" spans="1:55" ht="20.100000000000001" customHeight="1" x14ac:dyDescent="0.15">
      <c r="A37" s="157"/>
      <c r="B37" s="174"/>
      <c r="C37" s="157"/>
      <c r="D37" s="157"/>
      <c r="E37" s="157"/>
      <c r="F37" s="157"/>
      <c r="G37" s="157"/>
      <c r="H37" s="157"/>
      <c r="I37" s="157"/>
      <c r="J37" s="157"/>
      <c r="K37" s="157"/>
      <c r="L37" s="157"/>
      <c r="M37" s="157"/>
      <c r="N37" s="157"/>
      <c r="O37" s="157"/>
      <c r="P37" s="157"/>
      <c r="Q37" s="157"/>
      <c r="R37" s="157"/>
      <c r="S37" s="157"/>
      <c r="T37" s="157"/>
      <c r="U37" s="176"/>
      <c r="V37" s="157"/>
      <c r="W37" s="159"/>
      <c r="X37" s="159"/>
      <c r="Y37" s="159"/>
      <c r="Z37" s="159"/>
      <c r="AA37" s="159"/>
      <c r="AB37" s="159"/>
      <c r="AC37" s="159"/>
      <c r="AD37" s="353"/>
      <c r="AE37" s="354"/>
      <c r="AF37" s="159"/>
      <c r="AG37" s="240" t="s">
        <v>152</v>
      </c>
      <c r="AH37" s="159"/>
      <c r="AI37" s="159"/>
      <c r="AJ37" s="159"/>
      <c r="AK37" s="159"/>
      <c r="AL37" s="159"/>
      <c r="AM37" s="159"/>
      <c r="AN37" s="159"/>
      <c r="AO37" s="159"/>
      <c r="AP37" s="210"/>
      <c r="AQ37" s="159"/>
      <c r="AR37" s="159"/>
      <c r="AS37" s="159"/>
      <c r="AT37" s="159"/>
      <c r="AU37" s="159"/>
      <c r="AV37" s="159"/>
      <c r="AW37" s="159"/>
      <c r="AX37" s="159"/>
      <c r="AY37" s="159"/>
      <c r="AZ37" s="159"/>
      <c r="BA37" s="159"/>
      <c r="BB37" s="159"/>
      <c r="BC37" s="159"/>
    </row>
    <row r="38" spans="1:55" ht="20.100000000000001" customHeight="1" x14ac:dyDescent="0.15">
      <c r="A38" s="157"/>
      <c r="B38" s="241"/>
      <c r="C38" s="242"/>
      <c r="D38" s="242"/>
      <c r="E38" s="242"/>
      <c r="F38" s="242"/>
      <c r="G38" s="242"/>
      <c r="H38" s="242"/>
      <c r="I38" s="242"/>
      <c r="J38" s="242"/>
      <c r="K38" s="242"/>
      <c r="L38" s="242"/>
      <c r="M38" s="242"/>
      <c r="N38" s="242"/>
      <c r="O38" s="242"/>
      <c r="P38" s="242"/>
      <c r="Q38" s="242"/>
      <c r="R38" s="242"/>
      <c r="S38" s="242"/>
      <c r="T38" s="242"/>
      <c r="U38" s="243"/>
      <c r="V38" s="157"/>
      <c r="W38" s="159"/>
      <c r="X38" s="159"/>
      <c r="Y38" s="159"/>
      <c r="Z38" s="159"/>
      <c r="AA38" s="159"/>
      <c r="AB38" s="159"/>
      <c r="AC38" s="159"/>
      <c r="AD38" s="353"/>
      <c r="AE38" s="354"/>
      <c r="AF38" s="159"/>
      <c r="AG38" s="244" t="s">
        <v>153</v>
      </c>
      <c r="AH38" s="159"/>
      <c r="AI38" s="159"/>
      <c r="AJ38" s="159"/>
      <c r="AK38" s="159"/>
      <c r="AL38" s="159"/>
      <c r="AM38" s="159"/>
      <c r="AN38" s="159"/>
      <c r="AO38" s="159"/>
      <c r="AP38" s="210"/>
      <c r="AQ38" s="159"/>
      <c r="AR38" s="159"/>
      <c r="AS38" s="159"/>
      <c r="AT38" s="159"/>
      <c r="AU38" s="159"/>
      <c r="AV38" s="159"/>
      <c r="AW38" s="159"/>
      <c r="AX38" s="159"/>
      <c r="AY38" s="159"/>
      <c r="AZ38" s="159"/>
      <c r="BA38" s="159"/>
      <c r="BB38" s="159"/>
      <c r="BC38" s="159"/>
    </row>
    <row r="39" spans="1:55" ht="30" customHeight="1" thickBot="1" x14ac:dyDescent="0.2">
      <c r="A39" s="157"/>
      <c r="B39" s="157"/>
      <c r="C39" s="245" t="s">
        <v>144</v>
      </c>
      <c r="D39" s="157"/>
      <c r="E39" s="157"/>
      <c r="F39" s="157"/>
      <c r="G39" s="157"/>
      <c r="H39" s="157"/>
      <c r="I39" s="157"/>
      <c r="J39" s="157"/>
      <c r="K39" s="157"/>
      <c r="L39" s="157"/>
      <c r="M39" s="157"/>
      <c r="N39" s="157"/>
      <c r="O39" s="157"/>
      <c r="P39" s="157"/>
      <c r="Q39" s="157"/>
      <c r="R39" s="157"/>
      <c r="S39" s="157"/>
      <c r="T39" s="157"/>
      <c r="U39" s="157"/>
      <c r="V39" s="157"/>
      <c r="W39" s="159"/>
      <c r="X39" s="159"/>
      <c r="Y39" s="159"/>
      <c r="Z39" s="159"/>
      <c r="AA39" s="159"/>
      <c r="AB39" s="159"/>
      <c r="AC39" s="159"/>
      <c r="AD39" s="353"/>
      <c r="AE39" s="354"/>
      <c r="AF39" s="159"/>
      <c r="AG39" s="238" t="s">
        <v>146</v>
      </c>
      <c r="AH39" s="159"/>
      <c r="AI39" s="159"/>
      <c r="AJ39" s="159"/>
      <c r="AK39" s="159"/>
      <c r="AL39" s="159"/>
      <c r="AM39" s="159"/>
      <c r="AN39" s="159"/>
      <c r="AO39" s="159"/>
      <c r="AP39" s="210"/>
      <c r="AQ39" s="159"/>
      <c r="AR39" s="159"/>
      <c r="AS39" s="159"/>
      <c r="AT39" s="159"/>
      <c r="AU39" s="159"/>
      <c r="AV39" s="159"/>
      <c r="AW39" s="159"/>
      <c r="AX39" s="159"/>
      <c r="AY39" s="159"/>
      <c r="AZ39" s="159"/>
      <c r="BA39" s="159"/>
      <c r="BB39" s="159"/>
      <c r="BC39" s="159"/>
    </row>
    <row r="40" spans="1:55" ht="30" customHeight="1" thickBot="1" x14ac:dyDescent="0.2">
      <c r="A40" s="157"/>
      <c r="B40" s="171" t="s">
        <v>133</v>
      </c>
      <c r="C40" s="246"/>
      <c r="D40" s="172"/>
      <c r="E40" s="172"/>
      <c r="F40" s="172"/>
      <c r="G40" s="172"/>
      <c r="H40" s="172"/>
      <c r="I40" s="172"/>
      <c r="J40" s="172"/>
      <c r="K40" s="172"/>
      <c r="L40" s="172"/>
      <c r="M40" s="172"/>
      <c r="N40" s="172"/>
      <c r="O40" s="172"/>
      <c r="P40" s="172"/>
      <c r="Q40" s="172"/>
      <c r="R40" s="172"/>
      <c r="S40" s="172"/>
      <c r="T40" s="172"/>
      <c r="U40" s="173"/>
      <c r="V40" s="157"/>
      <c r="W40" s="159"/>
      <c r="X40" s="159"/>
      <c r="Y40" s="159"/>
      <c r="Z40" s="247" t="s">
        <v>127</v>
      </c>
      <c r="AA40" s="248"/>
      <c r="AB40" s="249"/>
      <c r="AC40" s="159"/>
      <c r="AD40" s="353"/>
      <c r="AE40" s="354"/>
      <c r="AF40" s="159"/>
      <c r="AG40" s="244" t="s">
        <v>154</v>
      </c>
      <c r="AH40" s="159"/>
      <c r="AI40" s="159"/>
      <c r="AJ40" s="159"/>
      <c r="AK40" s="159"/>
      <c r="AL40" s="159"/>
      <c r="AM40" s="159"/>
      <c r="AN40" s="159"/>
      <c r="AO40" s="159"/>
      <c r="AP40" s="210"/>
      <c r="AQ40" s="159"/>
      <c r="AR40" s="159"/>
      <c r="AS40" s="159"/>
      <c r="AT40" s="159"/>
      <c r="AU40" s="159"/>
      <c r="AV40" s="159"/>
      <c r="AW40" s="159"/>
      <c r="AX40" s="159"/>
      <c r="AY40" s="159"/>
      <c r="AZ40" s="159"/>
      <c r="BA40" s="159"/>
      <c r="BB40" s="159"/>
      <c r="BC40" s="159"/>
    </row>
    <row r="41" spans="1:55" ht="18" customHeight="1" x14ac:dyDescent="0.15">
      <c r="A41" s="157"/>
      <c r="B41" s="174"/>
      <c r="C41" s="250" t="s">
        <v>452</v>
      </c>
      <c r="D41" s="157"/>
      <c r="E41" s="157"/>
      <c r="F41" s="157"/>
      <c r="G41" s="157"/>
      <c r="H41" s="157"/>
      <c r="I41" s="157"/>
      <c r="J41" s="157"/>
      <c r="K41" s="157"/>
      <c r="L41" s="157"/>
      <c r="M41" s="157"/>
      <c r="N41" s="157"/>
      <c r="O41" s="157"/>
      <c r="P41" s="157"/>
      <c r="Q41" s="157"/>
      <c r="R41" s="157"/>
      <c r="S41" s="157"/>
      <c r="T41" s="157"/>
      <c r="U41" s="176"/>
      <c r="V41" s="157"/>
      <c r="W41" s="159"/>
      <c r="X41" s="159"/>
      <c r="Y41" s="159"/>
      <c r="Z41" s="251" t="s">
        <v>89</v>
      </c>
      <c r="AA41" s="252" t="s">
        <v>441</v>
      </c>
      <c r="AB41" s="253" t="str">
        <f>IF(AND(E16&gt;=60,OR(E18&lt;18,E18&gt;=60),OR(E20&lt;18,E20&gt;=60),OR(E22&lt;18,E22&gt;=60),OR(E24&lt;18,E24&gt;=60),OR(E26&lt;18,E26&gt;=60),OR(E28&lt;18,E28&gt;=60),OR(E30&lt;18,E30&gt;=60),COUNTA(E16,E18,E20,E22,E24,E26,E28,E30)&gt;=1),"該当","非該当")</f>
        <v>非該当</v>
      </c>
      <c r="AC41" s="159"/>
      <c r="AD41" s="353"/>
      <c r="AE41" s="354"/>
      <c r="AF41" s="159"/>
      <c r="AG41" s="238" t="s">
        <v>148</v>
      </c>
      <c r="AH41" s="159"/>
      <c r="AI41" s="159"/>
      <c r="AJ41" s="159"/>
      <c r="AK41" s="159"/>
      <c r="AL41" s="159"/>
      <c r="AM41" s="159"/>
      <c r="AN41" s="159"/>
      <c r="AO41" s="159"/>
      <c r="AP41" s="210"/>
      <c r="AQ41" s="159"/>
      <c r="AR41" s="159"/>
      <c r="AS41" s="159"/>
      <c r="AT41" s="159"/>
      <c r="AU41" s="159"/>
      <c r="AV41" s="159"/>
      <c r="AW41" s="159"/>
      <c r="AX41" s="159"/>
      <c r="AY41" s="159"/>
      <c r="AZ41" s="159"/>
      <c r="BA41" s="159"/>
      <c r="BB41" s="159"/>
      <c r="BC41" s="159"/>
    </row>
    <row r="42" spans="1:55" ht="15.95" customHeight="1" x14ac:dyDescent="0.15">
      <c r="A42" s="157"/>
      <c r="B42" s="174"/>
      <c r="C42" s="180" t="s">
        <v>131</v>
      </c>
      <c r="D42" s="178" t="s">
        <v>134</v>
      </c>
      <c r="E42" s="179"/>
      <c r="F42" s="179"/>
      <c r="G42" s="157"/>
      <c r="H42" s="157"/>
      <c r="I42" s="157"/>
      <c r="J42" s="157"/>
      <c r="K42" s="157"/>
      <c r="L42" s="157"/>
      <c r="M42" s="157"/>
      <c r="N42" s="157"/>
      <c r="O42" s="157"/>
      <c r="P42" s="157"/>
      <c r="Q42" s="157"/>
      <c r="R42" s="157"/>
      <c r="S42" s="157"/>
      <c r="T42" s="157"/>
      <c r="U42" s="176"/>
      <c r="V42" s="157"/>
      <c r="W42" s="159"/>
      <c r="X42" s="159"/>
      <c r="Y42" s="159"/>
      <c r="Z42" s="254" t="s">
        <v>91</v>
      </c>
      <c r="AA42" s="255" t="s">
        <v>442</v>
      </c>
      <c r="AB42" s="256" t="s">
        <v>138</v>
      </c>
      <c r="AC42" s="159"/>
      <c r="AD42" s="353"/>
      <c r="AE42" s="354"/>
      <c r="AF42" s="159"/>
      <c r="AG42" s="244" t="s">
        <v>155</v>
      </c>
      <c r="AH42" s="159"/>
      <c r="AI42" s="159"/>
      <c r="AJ42" s="159"/>
      <c r="AK42" s="159"/>
      <c r="AL42" s="159"/>
      <c r="AM42" s="159"/>
      <c r="AN42" s="159"/>
      <c r="AO42" s="159"/>
      <c r="AP42" s="210"/>
      <c r="AQ42" s="159"/>
      <c r="AR42" s="159"/>
      <c r="AS42" s="159"/>
      <c r="AT42" s="159"/>
      <c r="AU42" s="159"/>
      <c r="AV42" s="159"/>
      <c r="AW42" s="159"/>
      <c r="AX42" s="159"/>
      <c r="AY42" s="159"/>
      <c r="AZ42" s="159"/>
      <c r="BA42" s="159"/>
      <c r="BB42" s="159"/>
      <c r="BC42" s="159"/>
    </row>
    <row r="43" spans="1:55" ht="12" customHeight="1" x14ac:dyDescent="0.15">
      <c r="A43" s="157"/>
      <c r="B43" s="174"/>
      <c r="C43" s="157"/>
      <c r="D43" s="157"/>
      <c r="E43" s="157"/>
      <c r="F43" s="157"/>
      <c r="G43" s="157"/>
      <c r="H43" s="157"/>
      <c r="I43" s="157"/>
      <c r="J43" s="157"/>
      <c r="K43" s="157"/>
      <c r="L43" s="157"/>
      <c r="M43" s="157"/>
      <c r="N43" s="157"/>
      <c r="O43" s="157"/>
      <c r="P43" s="157"/>
      <c r="Q43" s="157"/>
      <c r="R43" s="157"/>
      <c r="S43" s="157"/>
      <c r="T43" s="157"/>
      <c r="U43" s="176"/>
      <c r="V43" s="157"/>
      <c r="W43" s="159"/>
      <c r="X43" s="159"/>
      <c r="Y43" s="159"/>
      <c r="Z43" s="254" t="s">
        <v>88</v>
      </c>
      <c r="AA43" s="255" t="s">
        <v>443</v>
      </c>
      <c r="AB43" s="256" t="str">
        <f>IF(COUNTIF($AN$16:$AN$30,"該当")&gt;=1,"該当","非該当")</f>
        <v>非該当</v>
      </c>
      <c r="AC43" s="159"/>
      <c r="AD43" s="353"/>
      <c r="AE43" s="354"/>
      <c r="AF43" s="159"/>
      <c r="AG43" s="257" t="s">
        <v>147</v>
      </c>
      <c r="AH43" s="198"/>
      <c r="AI43" s="198"/>
      <c r="AJ43" s="198"/>
      <c r="AK43" s="198"/>
      <c r="AL43" s="198"/>
      <c r="AM43" s="198"/>
      <c r="AN43" s="198"/>
      <c r="AO43" s="198"/>
      <c r="AP43" s="231"/>
      <c r="AQ43" s="159"/>
      <c r="AR43" s="159"/>
      <c r="AS43" s="159"/>
      <c r="AT43" s="159"/>
      <c r="AU43" s="159"/>
      <c r="AV43" s="159"/>
      <c r="AW43" s="159"/>
      <c r="AX43" s="159"/>
      <c r="AY43" s="159"/>
      <c r="AZ43" s="159"/>
      <c r="BA43" s="159"/>
      <c r="BB43" s="159"/>
      <c r="BC43" s="159"/>
    </row>
    <row r="44" spans="1:55" ht="32.25" customHeight="1" x14ac:dyDescent="0.15">
      <c r="A44" s="157"/>
      <c r="B44" s="174"/>
      <c r="C44" s="341" t="s">
        <v>176</v>
      </c>
      <c r="D44" s="341"/>
      <c r="E44" s="341"/>
      <c r="F44" s="341"/>
      <c r="G44" s="341"/>
      <c r="H44" s="341"/>
      <c r="I44" s="341"/>
      <c r="J44" s="341"/>
      <c r="K44" s="341"/>
      <c r="L44" s="341"/>
      <c r="M44" s="311"/>
      <c r="N44" s="157"/>
      <c r="O44" s="157"/>
      <c r="P44" s="157"/>
      <c r="Q44" s="157"/>
      <c r="R44" s="157"/>
      <c r="S44" s="157"/>
      <c r="T44" s="157"/>
      <c r="U44" s="176"/>
      <c r="V44" s="157"/>
      <c r="W44" s="159"/>
      <c r="X44" s="159"/>
      <c r="Y44" s="159"/>
      <c r="Z44" s="254" t="s">
        <v>90</v>
      </c>
      <c r="AA44" s="255" t="s">
        <v>444</v>
      </c>
      <c r="AB44" s="256" t="str">
        <f>IF($M$44="○(いる)","該当","非該当")</f>
        <v>非該当</v>
      </c>
      <c r="AC44" s="159"/>
      <c r="AD44" s="353"/>
      <c r="AE44" s="354"/>
      <c r="AF44" s="159"/>
      <c r="AG44" s="159"/>
      <c r="AH44" s="159"/>
      <c r="AI44" s="159"/>
      <c r="AJ44" s="159"/>
      <c r="AK44" s="159"/>
      <c r="AL44" s="159"/>
      <c r="AM44" s="159"/>
      <c r="AN44" s="159"/>
      <c r="AO44" s="159"/>
      <c r="AP44" s="159"/>
      <c r="AQ44" s="159"/>
      <c r="AR44" s="159"/>
      <c r="AS44" s="159"/>
      <c r="AT44" s="159"/>
      <c r="AU44" s="159"/>
      <c r="AV44" s="159"/>
      <c r="AW44" s="159"/>
      <c r="AX44" s="159"/>
      <c r="AY44" s="159"/>
      <c r="AZ44" s="159"/>
      <c r="BA44" s="159"/>
      <c r="BB44" s="159"/>
      <c r="BC44" s="159"/>
    </row>
    <row r="45" spans="1:55" ht="114.75" customHeight="1" x14ac:dyDescent="0.15">
      <c r="A45" s="157"/>
      <c r="B45" s="174"/>
      <c r="C45" s="341" t="s">
        <v>177</v>
      </c>
      <c r="D45" s="341"/>
      <c r="E45" s="341"/>
      <c r="F45" s="341"/>
      <c r="G45" s="341"/>
      <c r="H45" s="341"/>
      <c r="I45" s="341"/>
      <c r="J45" s="341"/>
      <c r="K45" s="341"/>
      <c r="L45" s="341"/>
      <c r="M45" s="311"/>
      <c r="N45" s="157"/>
      <c r="O45" s="157"/>
      <c r="P45" s="157"/>
      <c r="Q45" s="157"/>
      <c r="R45" s="157"/>
      <c r="S45" s="157"/>
      <c r="T45" s="157"/>
      <c r="U45" s="176"/>
      <c r="V45" s="157"/>
      <c r="W45" s="159"/>
      <c r="X45" s="159"/>
      <c r="Y45" s="159"/>
      <c r="Z45" s="254" t="s">
        <v>446</v>
      </c>
      <c r="AA45" s="255" t="s">
        <v>445</v>
      </c>
      <c r="AB45" s="256" t="str">
        <f>IF($M$45="○(いる)","該当","非該当")</f>
        <v>非該当</v>
      </c>
      <c r="AC45" s="159"/>
      <c r="AD45" s="353"/>
      <c r="AE45" s="354"/>
      <c r="AF45" s="159"/>
      <c r="AG45" s="159"/>
      <c r="AH45" s="159"/>
      <c r="AI45" s="159"/>
      <c r="AJ45" s="159"/>
      <c r="AK45" s="159"/>
      <c r="AL45" s="159"/>
      <c r="AM45" s="159"/>
      <c r="AN45" s="159"/>
      <c r="AO45" s="159"/>
      <c r="AP45" s="159"/>
      <c r="AQ45" s="159"/>
      <c r="AR45" s="159"/>
      <c r="AS45" s="159"/>
      <c r="AT45" s="159"/>
      <c r="AU45" s="159"/>
      <c r="AV45" s="159"/>
      <c r="AW45" s="159"/>
      <c r="AX45" s="159"/>
      <c r="AY45" s="159"/>
      <c r="AZ45" s="159"/>
      <c r="BA45" s="159"/>
      <c r="BB45" s="159"/>
      <c r="BC45" s="159"/>
    </row>
    <row r="46" spans="1:55" ht="30" customHeight="1" x14ac:dyDescent="0.15">
      <c r="A46" s="157"/>
      <c r="B46" s="241"/>
      <c r="C46" s="258"/>
      <c r="D46" s="258"/>
      <c r="E46" s="258"/>
      <c r="F46" s="258"/>
      <c r="G46" s="258"/>
      <c r="H46" s="258"/>
      <c r="I46" s="258"/>
      <c r="J46" s="258"/>
      <c r="K46" s="258"/>
      <c r="L46" s="258"/>
      <c r="M46" s="242"/>
      <c r="N46" s="242"/>
      <c r="O46" s="242"/>
      <c r="P46" s="242"/>
      <c r="Q46" s="242"/>
      <c r="R46" s="242"/>
      <c r="S46" s="242"/>
      <c r="T46" s="242"/>
      <c r="U46" s="243"/>
      <c r="V46" s="157"/>
      <c r="W46" s="159"/>
      <c r="X46" s="159"/>
      <c r="Y46" s="159"/>
      <c r="Z46" s="259"/>
      <c r="AA46" s="260"/>
      <c r="AB46" s="261"/>
      <c r="AC46" s="159"/>
      <c r="AD46" s="353"/>
      <c r="AE46" s="354"/>
      <c r="AF46" s="159"/>
      <c r="AG46" s="159"/>
      <c r="AH46" s="159"/>
      <c r="AI46" s="159"/>
      <c r="AJ46" s="159"/>
      <c r="AK46" s="159"/>
      <c r="AL46" s="159"/>
      <c r="AM46" s="159"/>
      <c r="AN46" s="159"/>
      <c r="AO46" s="159"/>
      <c r="AP46" s="159"/>
      <c r="AQ46" s="159"/>
      <c r="AR46" s="159"/>
      <c r="AS46" s="159"/>
      <c r="AT46" s="159"/>
      <c r="AU46" s="159"/>
      <c r="AV46" s="159"/>
      <c r="AW46" s="159"/>
      <c r="AX46" s="159"/>
      <c r="AY46" s="159"/>
      <c r="AZ46" s="159"/>
      <c r="BA46" s="159"/>
      <c r="BB46" s="159"/>
      <c r="BC46" s="159"/>
    </row>
    <row r="47" spans="1:55" ht="30" customHeight="1" thickBot="1" x14ac:dyDescent="0.2">
      <c r="A47" s="157"/>
      <c r="B47" s="157"/>
      <c r="C47" s="245" t="s">
        <v>144</v>
      </c>
      <c r="D47" s="157"/>
      <c r="E47" s="157"/>
      <c r="F47" s="157"/>
      <c r="G47" s="157"/>
      <c r="H47" s="157"/>
      <c r="I47" s="157"/>
      <c r="J47" s="157"/>
      <c r="K47" s="157"/>
      <c r="L47" s="157"/>
      <c r="M47" s="157"/>
      <c r="N47" s="157"/>
      <c r="O47" s="157"/>
      <c r="P47" s="157"/>
      <c r="Q47" s="157"/>
      <c r="R47" s="157"/>
      <c r="S47" s="157"/>
      <c r="T47" s="157"/>
      <c r="U47" s="157"/>
      <c r="V47" s="157"/>
      <c r="W47" s="159"/>
      <c r="X47" s="159"/>
      <c r="Y47" s="159"/>
      <c r="Z47" s="262"/>
      <c r="AA47" s="263" t="s">
        <v>98</v>
      </c>
      <c r="AB47" s="264" t="str">
        <f>IF(COUNTIF($AB$41:$AB$45,"該当")&gt;=1,"該当","非該当")</f>
        <v>非該当</v>
      </c>
      <c r="AC47" s="159"/>
      <c r="AD47" s="355"/>
      <c r="AE47" s="356"/>
      <c r="AF47" s="159"/>
      <c r="AG47" s="159"/>
      <c r="AH47" s="159"/>
      <c r="AI47" s="159"/>
      <c r="AJ47" s="159"/>
      <c r="AK47" s="159"/>
      <c r="AL47" s="159"/>
      <c r="AM47" s="159"/>
      <c r="AN47" s="159"/>
      <c r="AO47" s="159"/>
      <c r="AP47" s="159"/>
      <c r="AQ47" s="159"/>
      <c r="AR47" s="159"/>
      <c r="AS47" s="159"/>
      <c r="AT47" s="159"/>
      <c r="AU47" s="159"/>
      <c r="AV47" s="159"/>
      <c r="AW47" s="159"/>
      <c r="AX47" s="159"/>
      <c r="AY47" s="159"/>
      <c r="AZ47" s="159"/>
      <c r="BA47" s="159"/>
      <c r="BB47" s="159"/>
      <c r="BC47" s="159"/>
    </row>
    <row r="48" spans="1:55" ht="30" customHeight="1" x14ac:dyDescent="0.15">
      <c r="A48" s="157"/>
      <c r="B48" s="171" t="s">
        <v>135</v>
      </c>
      <c r="C48" s="246"/>
      <c r="D48" s="172"/>
      <c r="E48" s="172"/>
      <c r="F48" s="172"/>
      <c r="G48" s="172"/>
      <c r="H48" s="172"/>
      <c r="I48" s="172"/>
      <c r="J48" s="172"/>
      <c r="K48" s="172"/>
      <c r="L48" s="172"/>
      <c r="M48" s="172"/>
      <c r="N48" s="172"/>
      <c r="O48" s="172"/>
      <c r="P48" s="172"/>
      <c r="Q48" s="172"/>
      <c r="R48" s="172"/>
      <c r="S48" s="172"/>
      <c r="T48" s="172"/>
      <c r="U48" s="173"/>
      <c r="V48" s="157"/>
      <c r="W48" s="159"/>
      <c r="X48" s="159"/>
      <c r="Y48" s="159"/>
      <c r="Z48" s="265"/>
      <c r="AA48" s="265"/>
      <c r="AB48" s="265" t="s">
        <v>457</v>
      </c>
      <c r="AC48" s="159"/>
      <c r="AD48" s="159"/>
      <c r="AE48" s="159"/>
      <c r="AF48" s="159"/>
      <c r="AG48" s="159"/>
      <c r="AH48" s="159"/>
      <c r="AI48" s="159"/>
      <c r="AJ48" s="159"/>
      <c r="AK48" s="159"/>
      <c r="AL48" s="159"/>
      <c r="AM48" s="159"/>
      <c r="AN48" s="159"/>
      <c r="AO48" s="159"/>
      <c r="AP48" s="159"/>
      <c r="AQ48" s="159"/>
      <c r="AR48" s="159"/>
      <c r="AS48" s="159"/>
      <c r="AT48" s="159"/>
      <c r="AU48" s="159"/>
      <c r="AV48" s="159"/>
      <c r="AW48" s="159"/>
      <c r="AX48" s="159"/>
      <c r="AY48" s="159"/>
      <c r="AZ48" s="159"/>
      <c r="BA48" s="159"/>
      <c r="BB48" s="159"/>
      <c r="BC48" s="159"/>
    </row>
    <row r="49" spans="1:55" ht="18" customHeight="1" x14ac:dyDescent="0.15">
      <c r="A49" s="157"/>
      <c r="B49" s="174"/>
      <c r="C49" s="250" t="s">
        <v>453</v>
      </c>
      <c r="D49" s="157"/>
      <c r="E49" s="157"/>
      <c r="F49" s="157"/>
      <c r="G49" s="157"/>
      <c r="H49" s="157"/>
      <c r="I49" s="157"/>
      <c r="J49" s="157"/>
      <c r="K49" s="157"/>
      <c r="L49" s="157"/>
      <c r="M49" s="157"/>
      <c r="N49" s="157"/>
      <c r="O49" s="157"/>
      <c r="P49" s="157"/>
      <c r="Q49" s="157"/>
      <c r="R49" s="157"/>
      <c r="S49" s="157"/>
      <c r="T49" s="157"/>
      <c r="U49" s="176"/>
      <c r="V49" s="157"/>
      <c r="W49" s="159"/>
      <c r="X49" s="159"/>
      <c r="Y49" s="159"/>
      <c r="Z49" s="159"/>
      <c r="AA49" s="265"/>
      <c r="AB49" s="265"/>
      <c r="AC49" s="159"/>
      <c r="AD49" s="159"/>
      <c r="AE49" s="159"/>
      <c r="AF49" s="159"/>
      <c r="AG49" s="159"/>
      <c r="AH49" s="159"/>
      <c r="AI49" s="159"/>
      <c r="AJ49" s="159"/>
      <c r="AK49" s="159"/>
      <c r="AL49" s="159"/>
      <c r="AM49" s="159"/>
      <c r="AN49" s="159"/>
      <c r="AO49" s="159"/>
      <c r="AP49" s="159"/>
      <c r="AQ49" s="159"/>
      <c r="AR49" s="159"/>
      <c r="AS49" s="159"/>
      <c r="AT49" s="159"/>
      <c r="AU49" s="159"/>
      <c r="AV49" s="159"/>
      <c r="AW49" s="159"/>
      <c r="AX49" s="159"/>
      <c r="AY49" s="159"/>
      <c r="AZ49" s="159"/>
      <c r="BA49" s="159"/>
      <c r="BB49" s="159"/>
      <c r="BC49" s="159"/>
    </row>
    <row r="50" spans="1:55" ht="15.95" customHeight="1" x14ac:dyDescent="0.15">
      <c r="A50" s="157"/>
      <c r="B50" s="174"/>
      <c r="C50" s="177" t="s">
        <v>128</v>
      </c>
      <c r="D50" s="178" t="s">
        <v>136</v>
      </c>
      <c r="E50" s="179"/>
      <c r="F50" s="179"/>
      <c r="G50" s="157"/>
      <c r="H50" s="157"/>
      <c r="I50" s="157"/>
      <c r="J50" s="157"/>
      <c r="K50" s="157"/>
      <c r="L50" s="157"/>
      <c r="M50" s="157"/>
      <c r="N50" s="157"/>
      <c r="O50" s="157"/>
      <c r="P50" s="157"/>
      <c r="Q50" s="157"/>
      <c r="R50" s="157"/>
      <c r="S50" s="157"/>
      <c r="T50" s="157"/>
      <c r="U50" s="176"/>
      <c r="V50" s="157"/>
      <c r="W50" s="159"/>
      <c r="X50" s="159"/>
      <c r="Y50" s="159"/>
      <c r="Z50" s="159"/>
      <c r="AA50" s="265"/>
      <c r="AB50" s="265"/>
      <c r="AC50" s="159"/>
      <c r="AD50" s="159"/>
      <c r="AE50" s="159"/>
      <c r="AF50" s="159"/>
      <c r="AG50" s="159"/>
      <c r="AH50" s="159"/>
      <c r="AI50" s="159"/>
      <c r="AJ50" s="159"/>
      <c r="AK50" s="159"/>
      <c r="AL50" s="159"/>
      <c r="AM50" s="159"/>
      <c r="AN50" s="159"/>
      <c r="AO50" s="159"/>
      <c r="AP50" s="159"/>
      <c r="AQ50" s="159"/>
      <c r="AR50" s="159"/>
      <c r="AS50" s="159"/>
      <c r="AT50" s="159"/>
      <c r="AU50" s="159"/>
      <c r="AV50" s="159"/>
      <c r="AW50" s="159"/>
      <c r="AX50" s="159"/>
      <c r="AY50" s="159"/>
      <c r="AZ50" s="159"/>
      <c r="BA50" s="159"/>
      <c r="BB50" s="159"/>
      <c r="BC50" s="159"/>
    </row>
    <row r="51" spans="1:55" ht="12" customHeight="1" x14ac:dyDescent="0.15">
      <c r="A51" s="157"/>
      <c r="B51" s="174"/>
      <c r="C51" s="157"/>
      <c r="D51" s="157"/>
      <c r="E51" s="157"/>
      <c r="F51" s="157"/>
      <c r="G51" s="157"/>
      <c r="H51" s="157"/>
      <c r="I51" s="157"/>
      <c r="J51" s="157"/>
      <c r="K51" s="157"/>
      <c r="L51" s="157"/>
      <c r="M51" s="157"/>
      <c r="N51" s="157"/>
      <c r="O51" s="157"/>
      <c r="P51" s="157"/>
      <c r="Q51" s="157"/>
      <c r="R51" s="157"/>
      <c r="S51" s="157"/>
      <c r="T51" s="157"/>
      <c r="U51" s="176"/>
      <c r="V51" s="157"/>
      <c r="W51" s="159"/>
      <c r="X51" s="159"/>
      <c r="Y51" s="159"/>
      <c r="Z51" s="159"/>
      <c r="AA51" s="159"/>
      <c r="AB51" s="265"/>
      <c r="AC51" s="159"/>
      <c r="AD51" s="159"/>
      <c r="AE51" s="159"/>
      <c r="AF51" s="159"/>
      <c r="AG51" s="159"/>
      <c r="AH51" s="159"/>
      <c r="AI51" s="159"/>
      <c r="AJ51" s="159"/>
      <c r="AK51" s="159"/>
      <c r="AL51" s="159"/>
      <c r="AM51" s="159"/>
      <c r="AN51" s="159"/>
      <c r="AO51" s="159"/>
      <c r="AP51" s="159"/>
      <c r="AQ51" s="159"/>
      <c r="AR51" s="159"/>
      <c r="AS51" s="159"/>
      <c r="AT51" s="159"/>
      <c r="AU51" s="159"/>
      <c r="AV51" s="159"/>
      <c r="AW51" s="159"/>
      <c r="AX51" s="159"/>
      <c r="AY51" s="159"/>
      <c r="AZ51" s="159"/>
      <c r="BA51" s="159"/>
      <c r="BB51" s="159"/>
      <c r="BC51" s="159"/>
    </row>
    <row r="52" spans="1:55" ht="24" customHeight="1" x14ac:dyDescent="0.15">
      <c r="A52" s="157"/>
      <c r="B52" s="174"/>
      <c r="C52" s="266" t="s">
        <v>79</v>
      </c>
      <c r="D52" s="267"/>
      <c r="E52" s="267"/>
      <c r="F52" s="267"/>
      <c r="G52" s="267"/>
      <c r="H52" s="267"/>
      <c r="I52" s="267"/>
      <c r="J52" s="267"/>
      <c r="K52" s="267"/>
      <c r="L52" s="268"/>
      <c r="M52" s="156"/>
      <c r="N52" s="269" t="s">
        <v>60</v>
      </c>
      <c r="O52" s="157"/>
      <c r="P52" s="157"/>
      <c r="Q52" s="157"/>
      <c r="R52" s="157"/>
      <c r="S52" s="157"/>
      <c r="T52" s="157"/>
      <c r="U52" s="176"/>
      <c r="V52" s="157"/>
      <c r="W52" s="159"/>
      <c r="X52" s="270" t="s">
        <v>63</v>
      </c>
      <c r="Y52" s="191"/>
      <c r="Z52" s="192"/>
      <c r="AA52" s="217">
        <f>$M$52*100000</f>
        <v>0</v>
      </c>
      <c r="AB52" s="181" t="s">
        <v>67</v>
      </c>
      <c r="AC52" s="159"/>
      <c r="AD52" s="159"/>
      <c r="AE52" s="159"/>
      <c r="AF52" s="159"/>
      <c r="AG52" s="159"/>
      <c r="AH52" s="159"/>
      <c r="AI52" s="159"/>
      <c r="AJ52" s="159"/>
      <c r="AK52" s="159"/>
      <c r="AL52" s="159"/>
      <c r="AM52" s="159"/>
      <c r="AN52" s="159"/>
      <c r="AO52" s="159"/>
      <c r="AP52" s="159"/>
      <c r="AQ52" s="159"/>
      <c r="AR52" s="159"/>
      <c r="AS52" s="159"/>
      <c r="AT52" s="159"/>
      <c r="AU52" s="159"/>
      <c r="AV52" s="159"/>
      <c r="AW52" s="159"/>
      <c r="AX52" s="159"/>
      <c r="AY52" s="159"/>
      <c r="AZ52" s="159"/>
      <c r="BA52" s="159"/>
      <c r="BB52" s="159"/>
      <c r="BC52" s="159"/>
    </row>
    <row r="53" spans="1:55" ht="9.9499999999999993" customHeight="1" x14ac:dyDescent="0.15">
      <c r="A53" s="157"/>
      <c r="B53" s="174"/>
      <c r="C53" s="271"/>
      <c r="D53" s="157"/>
      <c r="E53" s="157"/>
      <c r="F53" s="157"/>
      <c r="G53" s="157"/>
      <c r="H53" s="157"/>
      <c r="I53" s="157"/>
      <c r="J53" s="157"/>
      <c r="K53" s="157"/>
      <c r="L53" s="157"/>
      <c r="M53" s="157"/>
      <c r="N53" s="224"/>
      <c r="O53" s="157"/>
      <c r="P53" s="157"/>
      <c r="Q53" s="157"/>
      <c r="R53" s="157"/>
      <c r="S53" s="157"/>
      <c r="T53" s="157"/>
      <c r="U53" s="176"/>
      <c r="V53" s="157"/>
      <c r="W53" s="159"/>
      <c r="X53" s="159"/>
      <c r="Y53" s="159"/>
      <c r="Z53" s="159"/>
      <c r="AA53" s="159"/>
      <c r="AB53" s="181"/>
      <c r="AC53" s="159"/>
      <c r="AD53" s="159"/>
      <c r="AE53" s="159"/>
      <c r="AF53" s="159"/>
      <c r="AG53" s="159"/>
      <c r="AH53" s="159"/>
      <c r="AI53" s="159"/>
      <c r="AJ53" s="159"/>
      <c r="AK53" s="159"/>
      <c r="AL53" s="159"/>
      <c r="AM53" s="159"/>
      <c r="AN53" s="159"/>
      <c r="AO53" s="159"/>
      <c r="AP53" s="159"/>
      <c r="AQ53" s="159"/>
      <c r="AR53" s="159"/>
      <c r="AS53" s="159"/>
      <c r="AT53" s="159"/>
      <c r="AU53" s="159"/>
      <c r="AV53" s="159"/>
      <c r="AW53" s="159"/>
      <c r="AX53" s="159"/>
      <c r="AY53" s="159"/>
      <c r="AZ53" s="159"/>
      <c r="BA53" s="159"/>
      <c r="BB53" s="159"/>
      <c r="BC53" s="159"/>
    </row>
    <row r="54" spans="1:55" ht="24" customHeight="1" x14ac:dyDescent="0.15">
      <c r="A54" s="157"/>
      <c r="B54" s="174"/>
      <c r="C54" s="266" t="s">
        <v>162</v>
      </c>
      <c r="D54" s="267"/>
      <c r="E54" s="267"/>
      <c r="F54" s="267"/>
      <c r="G54" s="267"/>
      <c r="H54" s="267"/>
      <c r="I54" s="267"/>
      <c r="J54" s="267"/>
      <c r="K54" s="267"/>
      <c r="L54" s="268"/>
      <c r="M54" s="156"/>
      <c r="N54" s="269" t="s">
        <v>60</v>
      </c>
      <c r="O54" s="157"/>
      <c r="P54" s="157"/>
      <c r="Q54" s="157"/>
      <c r="R54" s="157"/>
      <c r="S54" s="157"/>
      <c r="T54" s="157"/>
      <c r="U54" s="176"/>
      <c r="V54" s="157"/>
      <c r="W54" s="159"/>
      <c r="X54" s="270" t="s">
        <v>64</v>
      </c>
      <c r="Y54" s="191"/>
      <c r="Z54" s="192"/>
      <c r="AA54" s="217">
        <f>$M$54*250000</f>
        <v>0</v>
      </c>
      <c r="AB54" s="181" t="s">
        <v>68</v>
      </c>
      <c r="AC54" s="159"/>
      <c r="AD54" s="159"/>
      <c r="AE54" s="159"/>
      <c r="AF54" s="159"/>
      <c r="AG54" s="159"/>
      <c r="AH54" s="159"/>
      <c r="AI54" s="159"/>
      <c r="AJ54" s="159"/>
      <c r="AK54" s="159"/>
      <c r="AL54" s="159"/>
      <c r="AM54" s="159"/>
      <c r="AN54" s="159"/>
      <c r="AO54" s="159"/>
      <c r="AP54" s="159"/>
      <c r="AQ54" s="159"/>
      <c r="AR54" s="159"/>
      <c r="AS54" s="159"/>
      <c r="AT54" s="159"/>
      <c r="AU54" s="159"/>
      <c r="AV54" s="159"/>
      <c r="AW54" s="159"/>
      <c r="AX54" s="159"/>
      <c r="AY54" s="159"/>
      <c r="AZ54" s="159"/>
      <c r="BA54" s="159"/>
      <c r="BB54" s="159"/>
      <c r="BC54" s="159"/>
    </row>
    <row r="55" spans="1:55" ht="9.9499999999999993" customHeight="1" x14ac:dyDescent="0.15">
      <c r="A55" s="157"/>
      <c r="B55" s="174"/>
      <c r="C55" s="271"/>
      <c r="D55" s="157"/>
      <c r="E55" s="157"/>
      <c r="F55" s="157"/>
      <c r="G55" s="157"/>
      <c r="H55" s="157"/>
      <c r="I55" s="157"/>
      <c r="J55" s="157"/>
      <c r="K55" s="157"/>
      <c r="L55" s="157"/>
      <c r="M55" s="157"/>
      <c r="N55" s="224"/>
      <c r="O55" s="157"/>
      <c r="P55" s="157"/>
      <c r="Q55" s="157"/>
      <c r="R55" s="157"/>
      <c r="S55" s="157"/>
      <c r="T55" s="157"/>
      <c r="U55" s="176"/>
      <c r="V55" s="157"/>
      <c r="W55" s="159"/>
      <c r="X55" s="159"/>
      <c r="Y55" s="159"/>
      <c r="Z55" s="159"/>
      <c r="AA55" s="159"/>
      <c r="AB55" s="181"/>
      <c r="AC55" s="159"/>
      <c r="AD55" s="159"/>
      <c r="AE55" s="159"/>
      <c r="AF55" s="159"/>
      <c r="AG55" s="159"/>
      <c r="AH55" s="159"/>
      <c r="AI55" s="159"/>
      <c r="AJ55" s="159"/>
      <c r="AK55" s="159"/>
      <c r="AL55" s="159"/>
      <c r="AM55" s="159"/>
      <c r="AN55" s="159"/>
      <c r="AO55" s="159"/>
      <c r="AP55" s="159"/>
      <c r="AQ55" s="159"/>
      <c r="AR55" s="159"/>
      <c r="AS55" s="159"/>
      <c r="AT55" s="159"/>
      <c r="AU55" s="159"/>
      <c r="AV55" s="159"/>
      <c r="AW55" s="159"/>
      <c r="AX55" s="159"/>
      <c r="AY55" s="159"/>
      <c r="AZ55" s="159"/>
      <c r="BA55" s="159"/>
      <c r="BB55" s="159"/>
      <c r="BC55" s="159"/>
    </row>
    <row r="56" spans="1:55" ht="24" customHeight="1" x14ac:dyDescent="0.15">
      <c r="A56" s="157"/>
      <c r="B56" s="174"/>
      <c r="C56" s="266" t="s">
        <v>163</v>
      </c>
      <c r="D56" s="267"/>
      <c r="E56" s="267"/>
      <c r="F56" s="267"/>
      <c r="G56" s="267"/>
      <c r="H56" s="267"/>
      <c r="I56" s="267"/>
      <c r="J56" s="267"/>
      <c r="K56" s="267"/>
      <c r="L56" s="268"/>
      <c r="M56" s="156"/>
      <c r="N56" s="269" t="s">
        <v>60</v>
      </c>
      <c r="O56" s="157"/>
      <c r="P56" s="157"/>
      <c r="Q56" s="157"/>
      <c r="R56" s="157"/>
      <c r="S56" s="157"/>
      <c r="T56" s="157"/>
      <c r="U56" s="176"/>
      <c r="V56" s="157"/>
      <c r="W56" s="159"/>
      <c r="X56" s="159"/>
      <c r="Y56" s="159"/>
      <c r="Z56" s="159"/>
      <c r="AA56" s="159"/>
      <c r="AB56" s="159"/>
      <c r="AC56" s="159"/>
      <c r="AD56" s="159"/>
      <c r="AE56" s="159"/>
      <c r="AF56" s="159"/>
      <c r="AG56" s="159"/>
      <c r="AH56" s="159"/>
      <c r="AI56" s="159"/>
      <c r="AJ56" s="159"/>
      <c r="AK56" s="159"/>
      <c r="AL56" s="159"/>
      <c r="AM56" s="159"/>
      <c r="AN56" s="159"/>
      <c r="AO56" s="159"/>
      <c r="AP56" s="159"/>
      <c r="AQ56" s="159"/>
      <c r="AR56" s="159"/>
      <c r="AS56" s="159"/>
      <c r="AT56" s="159"/>
      <c r="AU56" s="159"/>
      <c r="AV56" s="159"/>
      <c r="AW56" s="159"/>
      <c r="AX56" s="159"/>
      <c r="AY56" s="159"/>
      <c r="AZ56" s="159"/>
      <c r="BA56" s="159"/>
      <c r="BB56" s="159"/>
      <c r="BC56" s="159"/>
    </row>
    <row r="57" spans="1:55" ht="9.9499999999999993" customHeight="1" x14ac:dyDescent="0.15">
      <c r="A57" s="157"/>
      <c r="B57" s="174"/>
      <c r="C57" s="271"/>
      <c r="D57" s="157"/>
      <c r="E57" s="157"/>
      <c r="F57" s="157"/>
      <c r="G57" s="157"/>
      <c r="H57" s="157"/>
      <c r="I57" s="157"/>
      <c r="J57" s="157"/>
      <c r="K57" s="157"/>
      <c r="L57" s="157"/>
      <c r="M57" s="157"/>
      <c r="N57" s="224"/>
      <c r="O57" s="157"/>
      <c r="P57" s="157"/>
      <c r="Q57" s="157"/>
      <c r="R57" s="157"/>
      <c r="S57" s="157"/>
      <c r="T57" s="157"/>
      <c r="U57" s="176"/>
      <c r="V57" s="157"/>
      <c r="W57" s="159"/>
      <c r="X57" s="159"/>
      <c r="Y57" s="159"/>
      <c r="Z57" s="159"/>
      <c r="AA57" s="159"/>
      <c r="AB57" s="181"/>
      <c r="AC57" s="159"/>
      <c r="AD57" s="159"/>
      <c r="AE57" s="159"/>
      <c r="AF57" s="159"/>
      <c r="AG57" s="159"/>
      <c r="AH57" s="159"/>
      <c r="AI57" s="159"/>
      <c r="AJ57" s="159"/>
      <c r="AK57" s="159"/>
      <c r="AL57" s="159"/>
      <c r="AM57" s="159"/>
      <c r="AN57" s="159"/>
      <c r="AO57" s="159"/>
      <c r="AP57" s="159"/>
      <c r="AQ57" s="159"/>
      <c r="AR57" s="159"/>
      <c r="AS57" s="159"/>
      <c r="AT57" s="159"/>
      <c r="AU57" s="159"/>
      <c r="AV57" s="159"/>
      <c r="AW57" s="159"/>
      <c r="AX57" s="159"/>
      <c r="AY57" s="159"/>
      <c r="AZ57" s="159"/>
      <c r="BA57" s="159"/>
      <c r="BB57" s="159"/>
      <c r="BC57" s="159"/>
    </row>
    <row r="58" spans="1:55" ht="24" customHeight="1" x14ac:dyDescent="0.15">
      <c r="A58" s="157"/>
      <c r="B58" s="174"/>
      <c r="C58" s="266" t="s">
        <v>159</v>
      </c>
      <c r="D58" s="267"/>
      <c r="E58" s="267"/>
      <c r="F58" s="267"/>
      <c r="G58" s="267"/>
      <c r="H58" s="267"/>
      <c r="I58" s="267"/>
      <c r="J58" s="267"/>
      <c r="K58" s="267"/>
      <c r="L58" s="268"/>
      <c r="M58" s="156"/>
      <c r="N58" s="269" t="s">
        <v>60</v>
      </c>
      <c r="O58" s="157"/>
      <c r="P58" s="157"/>
      <c r="Q58" s="157"/>
      <c r="R58" s="157"/>
      <c r="S58" s="157"/>
      <c r="T58" s="157"/>
      <c r="U58" s="176"/>
      <c r="V58" s="157"/>
      <c r="W58" s="159"/>
      <c r="X58" s="270" t="s">
        <v>62</v>
      </c>
      <c r="Y58" s="191"/>
      <c r="Z58" s="192"/>
      <c r="AA58" s="217">
        <f>$M$58*380000</f>
        <v>0</v>
      </c>
      <c r="AB58" s="181" t="s">
        <v>66</v>
      </c>
      <c r="AC58" s="159"/>
      <c r="AD58" s="159"/>
      <c r="AE58" s="159"/>
      <c r="AF58" s="159"/>
      <c r="AG58" s="159"/>
      <c r="AH58" s="159"/>
      <c r="AI58" s="159"/>
      <c r="AJ58" s="159"/>
      <c r="AK58" s="159"/>
      <c r="AL58" s="159"/>
      <c r="AM58" s="159"/>
      <c r="AN58" s="159"/>
      <c r="AO58" s="159"/>
      <c r="AP58" s="159"/>
      <c r="AQ58" s="159"/>
      <c r="AR58" s="159"/>
      <c r="AS58" s="159"/>
      <c r="AT58" s="159"/>
      <c r="AU58" s="159"/>
      <c r="AV58" s="159"/>
      <c r="AW58" s="159"/>
      <c r="AX58" s="159"/>
      <c r="AY58" s="159"/>
      <c r="AZ58" s="159"/>
      <c r="BA58" s="159"/>
      <c r="BB58" s="159"/>
      <c r="BC58" s="159"/>
    </row>
    <row r="59" spans="1:55" ht="9.9499999999999993" customHeight="1" x14ac:dyDescent="0.15">
      <c r="A59" s="157"/>
      <c r="B59" s="174"/>
      <c r="C59" s="271"/>
      <c r="D59" s="157"/>
      <c r="E59" s="157"/>
      <c r="F59" s="157"/>
      <c r="G59" s="157"/>
      <c r="H59" s="157"/>
      <c r="I59" s="157"/>
      <c r="J59" s="157"/>
      <c r="K59" s="157"/>
      <c r="L59" s="157"/>
      <c r="M59" s="157"/>
      <c r="N59" s="224"/>
      <c r="O59" s="157"/>
      <c r="P59" s="157"/>
      <c r="Q59" s="157"/>
      <c r="R59" s="157"/>
      <c r="S59" s="157"/>
      <c r="T59" s="157"/>
      <c r="U59" s="176"/>
      <c r="V59" s="157"/>
      <c r="W59" s="159"/>
      <c r="X59" s="159"/>
      <c r="Y59" s="159"/>
      <c r="Z59" s="159"/>
      <c r="AA59" s="159"/>
      <c r="AB59" s="181"/>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c r="AY59" s="159"/>
      <c r="AZ59" s="159"/>
      <c r="BA59" s="159"/>
      <c r="BB59" s="159"/>
      <c r="BC59" s="159"/>
    </row>
    <row r="60" spans="1:55" ht="24" customHeight="1" x14ac:dyDescent="0.15">
      <c r="A60" s="157"/>
      <c r="B60" s="174"/>
      <c r="C60" s="266" t="s">
        <v>158</v>
      </c>
      <c r="D60" s="267"/>
      <c r="E60" s="267"/>
      <c r="F60" s="267"/>
      <c r="G60" s="267"/>
      <c r="H60" s="267"/>
      <c r="I60" s="267"/>
      <c r="J60" s="267"/>
      <c r="K60" s="267"/>
      <c r="L60" s="268"/>
      <c r="M60" s="156"/>
      <c r="N60" s="269" t="s">
        <v>60</v>
      </c>
      <c r="O60" s="157"/>
      <c r="P60" s="157"/>
      <c r="Q60" s="157"/>
      <c r="R60" s="157"/>
      <c r="S60" s="157"/>
      <c r="T60" s="157"/>
      <c r="U60" s="176"/>
      <c r="V60" s="157"/>
      <c r="W60" s="159"/>
      <c r="X60" s="270" t="s">
        <v>71</v>
      </c>
      <c r="Y60" s="191"/>
      <c r="Z60" s="192"/>
      <c r="AA60" s="217">
        <f>$M$60*270000</f>
        <v>0</v>
      </c>
      <c r="AB60" s="181" t="s">
        <v>69</v>
      </c>
      <c r="AC60" s="159"/>
      <c r="AD60" s="159"/>
      <c r="AE60" s="159"/>
      <c r="AF60" s="159"/>
      <c r="AG60" s="159"/>
      <c r="AH60" s="159"/>
      <c r="AI60" s="159"/>
      <c r="AJ60" s="159"/>
      <c r="AK60" s="159"/>
      <c r="AL60" s="159"/>
      <c r="AM60" s="159"/>
      <c r="AN60" s="159"/>
      <c r="AO60" s="159"/>
      <c r="AP60" s="159"/>
      <c r="AQ60" s="159"/>
      <c r="AR60" s="159"/>
      <c r="AS60" s="159"/>
      <c r="AT60" s="159"/>
      <c r="AU60" s="159"/>
      <c r="AV60" s="159"/>
      <c r="AW60" s="159"/>
      <c r="AX60" s="159"/>
      <c r="AY60" s="159"/>
      <c r="AZ60" s="159"/>
      <c r="BA60" s="159"/>
      <c r="BB60" s="159"/>
      <c r="BC60" s="159"/>
    </row>
    <row r="61" spans="1:55" ht="9.9499999999999993" customHeight="1" x14ac:dyDescent="0.15">
      <c r="A61" s="157"/>
      <c r="B61" s="174"/>
      <c r="C61" s="271"/>
      <c r="D61" s="157"/>
      <c r="E61" s="157"/>
      <c r="F61" s="157"/>
      <c r="G61" s="157"/>
      <c r="H61" s="157"/>
      <c r="I61" s="157"/>
      <c r="J61" s="157"/>
      <c r="K61" s="157"/>
      <c r="L61" s="157"/>
      <c r="M61" s="157"/>
      <c r="N61" s="224"/>
      <c r="O61" s="157"/>
      <c r="P61" s="157"/>
      <c r="Q61" s="157"/>
      <c r="R61" s="157"/>
      <c r="S61" s="157"/>
      <c r="T61" s="157"/>
      <c r="U61" s="176"/>
      <c r="V61" s="157"/>
      <c r="W61" s="159"/>
      <c r="X61" s="159"/>
      <c r="Y61" s="159"/>
      <c r="Z61" s="159"/>
      <c r="AA61" s="159"/>
      <c r="AB61" s="181"/>
      <c r="AC61" s="159"/>
      <c r="AD61" s="159"/>
      <c r="AE61" s="159"/>
      <c r="AF61" s="159"/>
      <c r="AG61" s="159"/>
      <c r="AH61" s="159"/>
      <c r="AI61" s="159"/>
      <c r="AJ61" s="159"/>
      <c r="AK61" s="159"/>
      <c r="AL61" s="159"/>
      <c r="AM61" s="159"/>
      <c r="AN61" s="159"/>
      <c r="AO61" s="159"/>
      <c r="AP61" s="159"/>
      <c r="AQ61" s="159"/>
      <c r="AR61" s="159"/>
      <c r="AS61" s="159"/>
      <c r="AT61" s="159"/>
      <c r="AU61" s="159"/>
      <c r="AV61" s="159"/>
      <c r="AW61" s="159"/>
      <c r="AX61" s="159"/>
      <c r="AY61" s="159"/>
      <c r="AZ61" s="159"/>
      <c r="BA61" s="159"/>
      <c r="BB61" s="159"/>
      <c r="BC61" s="159"/>
    </row>
    <row r="62" spans="1:55" ht="24" customHeight="1" x14ac:dyDescent="0.15">
      <c r="A62" s="157"/>
      <c r="B62" s="174"/>
      <c r="C62" s="266" t="s">
        <v>160</v>
      </c>
      <c r="D62" s="267"/>
      <c r="E62" s="267"/>
      <c r="F62" s="267"/>
      <c r="G62" s="267"/>
      <c r="H62" s="267"/>
      <c r="I62" s="267"/>
      <c r="J62" s="267"/>
      <c r="K62" s="267"/>
      <c r="L62" s="268"/>
      <c r="M62" s="156"/>
      <c r="N62" s="269" t="s">
        <v>60</v>
      </c>
      <c r="O62" s="157"/>
      <c r="P62" s="157"/>
      <c r="Q62" s="157"/>
      <c r="R62" s="157"/>
      <c r="S62" s="157"/>
      <c r="T62" s="157"/>
      <c r="U62" s="176"/>
      <c r="V62" s="157"/>
      <c r="W62" s="159"/>
      <c r="X62" s="270" t="s">
        <v>72</v>
      </c>
      <c r="Y62" s="191"/>
      <c r="Z62" s="192"/>
      <c r="AA62" s="217">
        <f>$M$62*400000</f>
        <v>0</v>
      </c>
      <c r="AB62" s="181" t="s">
        <v>70</v>
      </c>
      <c r="AC62" s="159"/>
      <c r="AD62" s="159"/>
      <c r="AE62" s="159"/>
      <c r="AF62" s="159"/>
      <c r="AG62" s="159"/>
      <c r="AH62" s="159"/>
      <c r="AI62" s="159"/>
      <c r="AJ62" s="159"/>
      <c r="AK62" s="265" t="s">
        <v>140</v>
      </c>
      <c r="AL62" s="159"/>
      <c r="AM62" s="159"/>
      <c r="AN62" s="159"/>
      <c r="AO62" s="159"/>
      <c r="AP62" s="159"/>
      <c r="AQ62" s="159"/>
      <c r="AR62" s="159"/>
      <c r="AS62" s="159"/>
      <c r="AT62" s="159"/>
      <c r="AU62" s="159"/>
      <c r="AV62" s="159"/>
      <c r="AW62" s="159"/>
      <c r="AX62" s="159"/>
      <c r="AY62" s="159"/>
      <c r="AZ62" s="159"/>
      <c r="BA62" s="159"/>
      <c r="BB62" s="159"/>
      <c r="BC62" s="159"/>
    </row>
    <row r="63" spans="1:55" ht="12" customHeight="1" x14ac:dyDescent="0.15">
      <c r="A63" s="157"/>
      <c r="B63" s="174"/>
      <c r="C63" s="175"/>
      <c r="D63" s="157"/>
      <c r="E63" s="157"/>
      <c r="F63" s="157"/>
      <c r="G63" s="157"/>
      <c r="H63" s="157"/>
      <c r="I63" s="157"/>
      <c r="J63" s="157"/>
      <c r="K63" s="157"/>
      <c r="L63" s="157"/>
      <c r="M63" s="157"/>
      <c r="N63" s="157"/>
      <c r="O63" s="157"/>
      <c r="P63" s="157"/>
      <c r="Q63" s="157"/>
      <c r="R63" s="157"/>
      <c r="S63" s="157"/>
      <c r="T63" s="157"/>
      <c r="U63" s="176"/>
      <c r="V63" s="157"/>
      <c r="W63" s="159"/>
      <c r="X63" s="159"/>
      <c r="Y63" s="159"/>
      <c r="Z63" s="159"/>
      <c r="AA63" s="159"/>
      <c r="AB63" s="265"/>
      <c r="AC63" s="159"/>
      <c r="AD63" s="159"/>
      <c r="AE63" s="159"/>
      <c r="AF63" s="159"/>
      <c r="AG63" s="159"/>
      <c r="AH63" s="159"/>
      <c r="AI63" s="159"/>
      <c r="AJ63" s="159"/>
      <c r="AK63" s="159" t="s">
        <v>424</v>
      </c>
      <c r="AL63" s="159" t="s">
        <v>425</v>
      </c>
      <c r="AM63" s="159" t="s">
        <v>426</v>
      </c>
      <c r="AN63" s="159" t="s">
        <v>427</v>
      </c>
      <c r="AO63" s="159" t="s">
        <v>428</v>
      </c>
      <c r="AP63" s="159" t="s">
        <v>429</v>
      </c>
      <c r="AQ63" s="159" t="s">
        <v>430</v>
      </c>
      <c r="AR63" s="159" t="s">
        <v>431</v>
      </c>
      <c r="AS63" s="159" t="s">
        <v>432</v>
      </c>
      <c r="AT63" s="159" t="s">
        <v>433</v>
      </c>
      <c r="AU63" s="159" t="s">
        <v>434</v>
      </c>
      <c r="AV63" s="159" t="s">
        <v>435</v>
      </c>
      <c r="AW63" s="159" t="s">
        <v>436</v>
      </c>
      <c r="AX63" s="159" t="s">
        <v>437</v>
      </c>
      <c r="AY63" s="159" t="s">
        <v>438</v>
      </c>
      <c r="AZ63" s="159" t="s">
        <v>439</v>
      </c>
      <c r="BA63" s="159" t="s">
        <v>440</v>
      </c>
      <c r="BB63" s="159" t="s">
        <v>471</v>
      </c>
      <c r="BC63" s="159" t="s">
        <v>472</v>
      </c>
    </row>
    <row r="64" spans="1:55" ht="61.5" customHeight="1" x14ac:dyDescent="0.15">
      <c r="A64" s="157"/>
      <c r="B64" s="241"/>
      <c r="C64" s="242"/>
      <c r="D64" s="242"/>
      <c r="E64" s="242"/>
      <c r="F64" s="242"/>
      <c r="G64" s="242"/>
      <c r="H64" s="242"/>
      <c r="I64" s="242"/>
      <c r="J64" s="242"/>
      <c r="K64" s="242"/>
      <c r="L64" s="242"/>
      <c r="M64" s="242"/>
      <c r="N64" s="242"/>
      <c r="O64" s="242"/>
      <c r="P64" s="242"/>
      <c r="Q64" s="242"/>
      <c r="R64" s="242"/>
      <c r="S64" s="242"/>
      <c r="T64" s="242"/>
      <c r="U64" s="243"/>
      <c r="V64" s="157"/>
      <c r="W64" s="159"/>
      <c r="X64" s="233" t="s">
        <v>78</v>
      </c>
      <c r="Y64" s="234"/>
      <c r="Z64" s="235"/>
      <c r="AA64" s="217">
        <f ca="1">SUM($AG$16:$AL$16,$AG$18:$AL$18,$AG$20:$AL$20,$AG$22:$AL$22,$AG$24:$AL$24,$AG$26:$AL$26,$AG$28:$AL$28,$AG$30:$AL$30,$AA$52,$AA$54,$AA$58,$AA$60,$AA$62)</f>
        <v>0</v>
      </c>
      <c r="AB64" s="265"/>
      <c r="AC64" s="159"/>
      <c r="AD64" s="272" t="s">
        <v>106</v>
      </c>
      <c r="AE64" s="272" t="s">
        <v>107</v>
      </c>
      <c r="AF64" s="273"/>
      <c r="AG64" s="272" t="s">
        <v>105</v>
      </c>
      <c r="AH64" s="272" t="s">
        <v>108</v>
      </c>
      <c r="AI64" s="272" t="s">
        <v>109</v>
      </c>
      <c r="AJ64" s="159"/>
      <c r="AK64" s="274" t="s">
        <v>407</v>
      </c>
      <c r="AL64" s="275" t="s">
        <v>408</v>
      </c>
      <c r="AM64" s="275" t="s">
        <v>409</v>
      </c>
      <c r="AN64" s="274" t="s">
        <v>410</v>
      </c>
      <c r="AO64" s="274" t="s">
        <v>411</v>
      </c>
      <c r="AP64" s="274" t="s">
        <v>412</v>
      </c>
      <c r="AQ64" s="274" t="s">
        <v>413</v>
      </c>
      <c r="AR64" s="274" t="s">
        <v>414</v>
      </c>
      <c r="AS64" s="274" t="s">
        <v>415</v>
      </c>
      <c r="AT64" s="274" t="s">
        <v>416</v>
      </c>
      <c r="AU64" s="274" t="s">
        <v>417</v>
      </c>
      <c r="AV64" s="274" t="s">
        <v>418</v>
      </c>
      <c r="AW64" s="274" t="s">
        <v>419</v>
      </c>
      <c r="AX64" s="274" t="s">
        <v>420</v>
      </c>
      <c r="AY64" s="274" t="s">
        <v>421</v>
      </c>
      <c r="AZ64" s="274" t="s">
        <v>422</v>
      </c>
      <c r="BA64" s="274" t="s">
        <v>423</v>
      </c>
      <c r="BB64" s="274" t="s">
        <v>473</v>
      </c>
      <c r="BC64" s="274" t="s">
        <v>474</v>
      </c>
    </row>
    <row r="65" spans="1:55" ht="30" customHeight="1" x14ac:dyDescent="0.15">
      <c r="A65" s="157"/>
      <c r="B65" s="157"/>
      <c r="C65" s="245" t="s">
        <v>144</v>
      </c>
      <c r="D65" s="157"/>
      <c r="E65" s="157"/>
      <c r="F65" s="157"/>
      <c r="G65" s="157"/>
      <c r="H65" s="157"/>
      <c r="I65" s="157"/>
      <c r="J65" s="157"/>
      <c r="K65" s="157"/>
      <c r="L65" s="157"/>
      <c r="M65" s="157"/>
      <c r="N65" s="157"/>
      <c r="O65" s="157"/>
      <c r="P65" s="157"/>
      <c r="Q65" s="157"/>
      <c r="R65" s="157"/>
      <c r="S65" s="157"/>
      <c r="T65" s="157"/>
      <c r="U65" s="157"/>
      <c r="V65" s="157"/>
      <c r="W65" s="159"/>
      <c r="X65" s="159"/>
      <c r="Y65" s="159"/>
      <c r="Z65" s="159"/>
      <c r="AA65" s="159"/>
      <c r="AB65" s="265"/>
      <c r="AC65" s="159"/>
      <c r="AD65" s="215">
        <v>0</v>
      </c>
      <c r="AE65" s="215">
        <v>104000</v>
      </c>
      <c r="AF65" s="159"/>
      <c r="AG65" s="215">
        <v>34400</v>
      </c>
      <c r="AH65" s="276" t="str">
        <f ca="1">IF(AND($AA$66&lt;=$AE65),"●","")</f>
        <v>●</v>
      </c>
      <c r="AI65" s="276" t="s">
        <v>110</v>
      </c>
      <c r="AJ65" s="159"/>
      <c r="AK65" s="277">
        <v>0</v>
      </c>
      <c r="AL65" s="277">
        <v>0</v>
      </c>
      <c r="AM65" s="277">
        <v>0</v>
      </c>
      <c r="AN65" s="277">
        <v>0</v>
      </c>
      <c r="AO65" s="277">
        <v>0</v>
      </c>
      <c r="AP65" s="277">
        <v>0</v>
      </c>
      <c r="AQ65" s="277">
        <v>0</v>
      </c>
      <c r="AR65" s="277">
        <v>0</v>
      </c>
      <c r="AS65" s="277">
        <v>0</v>
      </c>
      <c r="AT65" s="277">
        <v>0</v>
      </c>
      <c r="AU65" s="277">
        <v>0</v>
      </c>
      <c r="AV65" s="277">
        <v>0</v>
      </c>
      <c r="AW65" s="277">
        <v>0</v>
      </c>
      <c r="AX65" s="277">
        <v>0</v>
      </c>
      <c r="AY65" s="277">
        <v>0</v>
      </c>
      <c r="AZ65" s="277">
        <v>0</v>
      </c>
      <c r="BA65" s="277">
        <v>0</v>
      </c>
      <c r="BB65" s="277">
        <v>0</v>
      </c>
      <c r="BC65" s="277">
        <v>0</v>
      </c>
    </row>
    <row r="66" spans="1:55" ht="30" customHeight="1" x14ac:dyDescent="0.15">
      <c r="A66" s="157"/>
      <c r="B66" s="171" t="s">
        <v>137</v>
      </c>
      <c r="C66" s="172"/>
      <c r="D66" s="172"/>
      <c r="E66" s="246"/>
      <c r="F66" s="172"/>
      <c r="G66" s="172"/>
      <c r="H66" s="172"/>
      <c r="I66" s="172"/>
      <c r="J66" s="172"/>
      <c r="K66" s="172"/>
      <c r="L66" s="172"/>
      <c r="M66" s="172"/>
      <c r="N66" s="172"/>
      <c r="O66" s="172"/>
      <c r="P66" s="172"/>
      <c r="Q66" s="172"/>
      <c r="R66" s="172"/>
      <c r="S66" s="172"/>
      <c r="T66" s="172"/>
      <c r="U66" s="173"/>
      <c r="V66" s="157"/>
      <c r="W66" s="159"/>
      <c r="X66" s="233" t="s">
        <v>87</v>
      </c>
      <c r="Y66" s="234"/>
      <c r="Z66" s="235"/>
      <c r="AA66" s="217">
        <f ca="1">IF($AA$33-$AA$64&gt;0,($AA$33-$AA$64)/12,0)</f>
        <v>0</v>
      </c>
      <c r="AB66" s="265"/>
      <c r="AC66" s="159"/>
      <c r="AD66" s="215">
        <f>AE65+1</f>
        <v>104001</v>
      </c>
      <c r="AE66" s="215">
        <v>123000</v>
      </c>
      <c r="AF66" s="159"/>
      <c r="AG66" s="215">
        <v>39700</v>
      </c>
      <c r="AH66" s="276" t="str">
        <f t="shared" ref="AH66:AH71" ca="1" si="0">IF(AND($AA$66&gt;$AD66,$AA$66&lt;=$AE66),"●","")</f>
        <v/>
      </c>
      <c r="AI66" s="276" t="s">
        <v>111</v>
      </c>
      <c r="AJ66" s="159"/>
      <c r="AK66" s="277">
        <v>0</v>
      </c>
      <c r="AL66" s="277">
        <v>0</v>
      </c>
      <c r="AM66" s="277">
        <v>0</v>
      </c>
      <c r="AN66" s="277">
        <v>0</v>
      </c>
      <c r="AO66" s="277">
        <v>0</v>
      </c>
      <c r="AP66" s="277">
        <v>0</v>
      </c>
      <c r="AQ66" s="277">
        <v>0</v>
      </c>
      <c r="AR66" s="277">
        <v>0</v>
      </c>
      <c r="AS66" s="277">
        <v>0</v>
      </c>
      <c r="AT66" s="277">
        <v>0</v>
      </c>
      <c r="AU66" s="277">
        <v>0</v>
      </c>
      <c r="AV66" s="277">
        <v>0</v>
      </c>
      <c r="AW66" s="277">
        <v>0</v>
      </c>
      <c r="AX66" s="277">
        <v>0</v>
      </c>
      <c r="AY66" s="277">
        <v>0</v>
      </c>
      <c r="AZ66" s="277">
        <v>0</v>
      </c>
      <c r="BA66" s="277">
        <v>0</v>
      </c>
      <c r="BB66" s="277">
        <v>0</v>
      </c>
      <c r="BC66" s="277">
        <v>0</v>
      </c>
    </row>
    <row r="67" spans="1:55" ht="18" customHeight="1" x14ac:dyDescent="0.15">
      <c r="A67" s="157"/>
      <c r="B67" s="174"/>
      <c r="C67" s="175" t="s">
        <v>220</v>
      </c>
      <c r="D67" s="157"/>
      <c r="E67" s="157"/>
      <c r="F67" s="157"/>
      <c r="G67" s="157"/>
      <c r="H67" s="157"/>
      <c r="I67" s="157"/>
      <c r="J67" s="157"/>
      <c r="K67" s="157"/>
      <c r="L67" s="157"/>
      <c r="M67" s="157"/>
      <c r="N67" s="157"/>
      <c r="O67" s="157"/>
      <c r="P67" s="157"/>
      <c r="Q67" s="157"/>
      <c r="R67" s="157"/>
      <c r="S67" s="157"/>
      <c r="T67" s="157"/>
      <c r="U67" s="176"/>
      <c r="V67" s="157"/>
      <c r="W67" s="159"/>
      <c r="X67" s="159"/>
      <c r="Y67" s="159"/>
      <c r="Z67" s="159"/>
      <c r="AA67" s="159"/>
      <c r="AB67" s="265"/>
      <c r="AC67" s="159"/>
      <c r="AD67" s="215">
        <f t="shared" ref="AD67:AD72" si="1">AE66+1</f>
        <v>123001</v>
      </c>
      <c r="AE67" s="215">
        <v>139000</v>
      </c>
      <c r="AF67" s="159"/>
      <c r="AG67" s="215">
        <v>45400</v>
      </c>
      <c r="AH67" s="276" t="str">
        <f t="shared" ca="1" si="0"/>
        <v/>
      </c>
      <c r="AI67" s="276" t="s">
        <v>112</v>
      </c>
      <c r="AJ67" s="159"/>
      <c r="AK67" s="277">
        <v>0</v>
      </c>
      <c r="AL67" s="277">
        <v>0</v>
      </c>
      <c r="AM67" s="277">
        <v>0</v>
      </c>
      <c r="AN67" s="277">
        <v>0</v>
      </c>
      <c r="AO67" s="277">
        <v>0</v>
      </c>
      <c r="AP67" s="277">
        <v>0</v>
      </c>
      <c r="AQ67" s="277">
        <v>0</v>
      </c>
      <c r="AR67" s="277">
        <v>0</v>
      </c>
      <c r="AS67" s="277">
        <v>0</v>
      </c>
      <c r="AT67" s="277">
        <v>0</v>
      </c>
      <c r="AU67" s="277">
        <v>0</v>
      </c>
      <c r="AV67" s="277">
        <v>0</v>
      </c>
      <c r="AW67" s="277">
        <v>0</v>
      </c>
      <c r="AX67" s="277">
        <v>0</v>
      </c>
      <c r="AY67" s="277">
        <v>0</v>
      </c>
      <c r="AZ67" s="277">
        <v>0</v>
      </c>
      <c r="BA67" s="277">
        <v>0</v>
      </c>
      <c r="BB67" s="277">
        <v>0</v>
      </c>
      <c r="BC67" s="277">
        <v>0</v>
      </c>
    </row>
    <row r="68" spans="1:55" ht="15.95" customHeight="1" x14ac:dyDescent="0.15">
      <c r="A68" s="157"/>
      <c r="B68" s="174"/>
      <c r="C68" s="180" t="s">
        <v>131</v>
      </c>
      <c r="D68" s="178" t="s">
        <v>134</v>
      </c>
      <c r="E68" s="179"/>
      <c r="F68" s="179"/>
      <c r="G68" s="179"/>
      <c r="H68" s="179"/>
      <c r="I68" s="179"/>
      <c r="J68" s="157"/>
      <c r="K68" s="157"/>
      <c r="L68" s="157"/>
      <c r="M68" s="157"/>
      <c r="N68" s="157"/>
      <c r="O68" s="157"/>
      <c r="P68" s="157"/>
      <c r="Q68" s="157"/>
      <c r="R68" s="157"/>
      <c r="S68" s="157"/>
      <c r="T68" s="157"/>
      <c r="U68" s="176"/>
      <c r="V68" s="157"/>
      <c r="W68" s="159"/>
      <c r="X68" s="233" t="s">
        <v>118</v>
      </c>
      <c r="Y68" s="234"/>
      <c r="Z68" s="235"/>
      <c r="AA68" s="217">
        <f ca="1">INDEX($AG$65:$AH$72,MATCH("●",$AH$65:$AH$72,0),1)</f>
        <v>34400</v>
      </c>
      <c r="AB68" s="265"/>
      <c r="AC68" s="159"/>
      <c r="AD68" s="215">
        <f t="shared" si="1"/>
        <v>139001</v>
      </c>
      <c r="AE68" s="215">
        <v>158000</v>
      </c>
      <c r="AF68" s="159"/>
      <c r="AG68" s="215">
        <v>51200</v>
      </c>
      <c r="AH68" s="276" t="str">
        <f t="shared" ca="1" si="0"/>
        <v/>
      </c>
      <c r="AI68" s="276" t="s">
        <v>113</v>
      </c>
      <c r="AJ68" s="159"/>
      <c r="AK68" s="277">
        <v>0</v>
      </c>
      <c r="AL68" s="277">
        <v>0</v>
      </c>
      <c r="AM68" s="277">
        <v>0</v>
      </c>
      <c r="AN68" s="277">
        <v>0</v>
      </c>
      <c r="AO68" s="277">
        <v>0</v>
      </c>
      <c r="AP68" s="277">
        <v>0</v>
      </c>
      <c r="AQ68" s="277">
        <v>0</v>
      </c>
      <c r="AR68" s="277">
        <v>0</v>
      </c>
      <c r="AS68" s="277">
        <v>0</v>
      </c>
      <c r="AT68" s="277">
        <v>0</v>
      </c>
      <c r="AU68" s="277">
        <v>0</v>
      </c>
      <c r="AV68" s="277">
        <v>0</v>
      </c>
      <c r="AW68" s="277">
        <v>0</v>
      </c>
      <c r="AX68" s="277">
        <v>0</v>
      </c>
      <c r="AY68" s="277">
        <v>0</v>
      </c>
      <c r="AZ68" s="277">
        <v>0</v>
      </c>
      <c r="BA68" s="277">
        <v>0</v>
      </c>
      <c r="BB68" s="277">
        <v>0</v>
      </c>
      <c r="BC68" s="277">
        <v>0</v>
      </c>
    </row>
    <row r="69" spans="1:55" ht="20.100000000000001" customHeight="1" x14ac:dyDescent="0.15">
      <c r="A69" s="157"/>
      <c r="B69" s="174"/>
      <c r="C69" s="157"/>
      <c r="D69" s="157"/>
      <c r="E69" s="157"/>
      <c r="F69" s="157"/>
      <c r="G69" s="157"/>
      <c r="H69" s="157"/>
      <c r="I69" s="157"/>
      <c r="J69" s="157"/>
      <c r="K69" s="157"/>
      <c r="L69" s="157"/>
      <c r="M69" s="157"/>
      <c r="N69" s="157"/>
      <c r="O69" s="157"/>
      <c r="P69" s="157"/>
      <c r="Q69" s="157"/>
      <c r="R69" s="157"/>
      <c r="S69" s="157"/>
      <c r="T69" s="157"/>
      <c r="U69" s="176"/>
      <c r="V69" s="157"/>
      <c r="W69" s="159"/>
      <c r="X69" s="159"/>
      <c r="Y69" s="159"/>
      <c r="Z69" s="159"/>
      <c r="AA69" s="159"/>
      <c r="AB69" s="265"/>
      <c r="AC69" s="159"/>
      <c r="AD69" s="215">
        <f t="shared" si="1"/>
        <v>158001</v>
      </c>
      <c r="AE69" s="215">
        <v>186000</v>
      </c>
      <c r="AF69" s="159"/>
      <c r="AG69" s="215">
        <v>58500</v>
      </c>
      <c r="AH69" s="276" t="str">
        <f t="shared" ca="1" si="0"/>
        <v/>
      </c>
      <c r="AI69" s="276" t="s">
        <v>114</v>
      </c>
      <c r="AJ69" s="159"/>
      <c r="AK69" s="215">
        <v>0.2</v>
      </c>
      <c r="AL69" s="215">
        <v>0.4</v>
      </c>
      <c r="AM69" s="215">
        <v>0.6</v>
      </c>
      <c r="AN69" s="215">
        <v>0.8</v>
      </c>
      <c r="AO69" s="215">
        <v>1</v>
      </c>
      <c r="AP69" s="215">
        <v>1</v>
      </c>
      <c r="AQ69" s="215">
        <v>1</v>
      </c>
      <c r="AR69" s="215">
        <v>1</v>
      </c>
      <c r="AS69" s="215">
        <v>1</v>
      </c>
      <c r="AT69" s="215">
        <v>1</v>
      </c>
      <c r="AU69" s="215">
        <v>1</v>
      </c>
      <c r="AV69" s="215">
        <v>1</v>
      </c>
      <c r="AW69" s="215">
        <v>1</v>
      </c>
      <c r="AX69" s="215">
        <v>1</v>
      </c>
      <c r="AY69" s="215">
        <v>1</v>
      </c>
      <c r="AZ69" s="215">
        <v>1</v>
      </c>
      <c r="BA69" s="215">
        <v>1</v>
      </c>
      <c r="BB69" s="215">
        <v>1</v>
      </c>
      <c r="BC69" s="215">
        <v>1</v>
      </c>
    </row>
    <row r="70" spans="1:55" ht="36.75" customHeight="1" x14ac:dyDescent="0.15">
      <c r="A70" s="157"/>
      <c r="B70" s="174"/>
      <c r="C70" s="278" t="s">
        <v>178</v>
      </c>
      <c r="D70" s="364"/>
      <c r="E70" s="365"/>
      <c r="F70" s="365"/>
      <c r="G70" s="365"/>
      <c r="H70" s="365"/>
      <c r="I70" s="366"/>
      <c r="J70" s="157"/>
      <c r="K70" s="157"/>
      <c r="L70" s="157"/>
      <c r="M70" s="157"/>
      <c r="N70" s="157"/>
      <c r="O70" s="157"/>
      <c r="P70" s="157"/>
      <c r="Q70" s="157"/>
      <c r="R70" s="157"/>
      <c r="S70" s="157"/>
      <c r="T70" s="157"/>
      <c r="U70" s="176"/>
      <c r="V70" s="157"/>
      <c r="W70" s="159"/>
      <c r="X70" s="159"/>
      <c r="Y70" s="159"/>
      <c r="Z70" s="159"/>
      <c r="AA70" s="159"/>
      <c r="AB70" s="159"/>
      <c r="AC70" s="159"/>
      <c r="AD70" s="215">
        <f t="shared" si="1"/>
        <v>186001</v>
      </c>
      <c r="AE70" s="215">
        <v>214000</v>
      </c>
      <c r="AF70" s="159"/>
      <c r="AG70" s="215">
        <v>67500</v>
      </c>
      <c r="AH70" s="276" t="str">
        <f t="shared" ca="1" si="0"/>
        <v/>
      </c>
      <c r="AI70" s="276" t="s">
        <v>115</v>
      </c>
      <c r="AJ70" s="159"/>
      <c r="AK70" s="215">
        <v>0.25</v>
      </c>
      <c r="AL70" s="215">
        <v>0.5</v>
      </c>
      <c r="AM70" s="215">
        <v>0.75</v>
      </c>
      <c r="AN70" s="215">
        <v>1</v>
      </c>
      <c r="AO70" s="215">
        <v>1</v>
      </c>
      <c r="AP70" s="215">
        <v>1</v>
      </c>
      <c r="AQ70" s="215">
        <v>1</v>
      </c>
      <c r="AR70" s="215">
        <v>1</v>
      </c>
      <c r="AS70" s="215">
        <v>1</v>
      </c>
      <c r="AT70" s="215">
        <v>1</v>
      </c>
      <c r="AU70" s="215">
        <v>1</v>
      </c>
      <c r="AV70" s="215">
        <v>1</v>
      </c>
      <c r="AW70" s="215">
        <v>1</v>
      </c>
      <c r="AX70" s="215">
        <v>1</v>
      </c>
      <c r="AY70" s="215">
        <v>1</v>
      </c>
      <c r="AZ70" s="215">
        <v>1</v>
      </c>
      <c r="BA70" s="215">
        <v>1</v>
      </c>
      <c r="BB70" s="215">
        <v>1</v>
      </c>
      <c r="BC70" s="215">
        <v>1</v>
      </c>
    </row>
    <row r="71" spans="1:55" ht="9" customHeight="1" x14ac:dyDescent="0.15">
      <c r="A71" s="157"/>
      <c r="B71" s="174"/>
      <c r="C71" s="174"/>
      <c r="D71" s="157"/>
      <c r="E71" s="157"/>
      <c r="F71" s="157"/>
      <c r="G71" s="157"/>
      <c r="H71" s="157"/>
      <c r="I71" s="176"/>
      <c r="J71" s="157"/>
      <c r="K71" s="157"/>
      <c r="L71" s="157"/>
      <c r="M71" s="157"/>
      <c r="N71" s="157"/>
      <c r="O71" s="157"/>
      <c r="P71" s="157"/>
      <c r="Q71" s="157"/>
      <c r="R71" s="157"/>
      <c r="S71" s="157"/>
      <c r="T71" s="157"/>
      <c r="U71" s="176"/>
      <c r="V71" s="157"/>
      <c r="W71" s="159"/>
      <c r="X71" s="159"/>
      <c r="Y71" s="159"/>
      <c r="Z71" s="398" t="s">
        <v>180</v>
      </c>
      <c r="AA71" s="399" t="s">
        <v>454</v>
      </c>
      <c r="AB71" s="215" t="s">
        <v>475</v>
      </c>
      <c r="AC71" s="159"/>
      <c r="AD71" s="215">
        <f t="shared" si="1"/>
        <v>214001</v>
      </c>
      <c r="AE71" s="215">
        <v>259000</v>
      </c>
      <c r="AF71" s="159"/>
      <c r="AG71" s="215">
        <v>79000</v>
      </c>
      <c r="AH71" s="276" t="str">
        <f t="shared" ca="1" si="0"/>
        <v/>
      </c>
      <c r="AI71" s="276" t="s">
        <v>116</v>
      </c>
      <c r="AJ71" s="159"/>
      <c r="AK71" s="215">
        <v>0.5</v>
      </c>
      <c r="AL71" s="215">
        <v>1</v>
      </c>
      <c r="AM71" s="215">
        <v>1</v>
      </c>
      <c r="AN71" s="215">
        <v>1</v>
      </c>
      <c r="AO71" s="215">
        <v>1</v>
      </c>
      <c r="AP71" s="215">
        <v>1</v>
      </c>
      <c r="AQ71" s="215">
        <v>1</v>
      </c>
      <c r="AR71" s="215">
        <v>1</v>
      </c>
      <c r="AS71" s="215">
        <v>1</v>
      </c>
      <c r="AT71" s="215">
        <v>1</v>
      </c>
      <c r="AU71" s="215">
        <v>1</v>
      </c>
      <c r="AV71" s="215">
        <v>1</v>
      </c>
      <c r="AW71" s="215">
        <v>1</v>
      </c>
      <c r="AX71" s="215">
        <v>1</v>
      </c>
      <c r="AY71" s="215">
        <v>1</v>
      </c>
      <c r="AZ71" s="215">
        <v>1</v>
      </c>
      <c r="BA71" s="215">
        <v>1</v>
      </c>
      <c r="BB71" s="215">
        <v>1</v>
      </c>
      <c r="BC71" s="215">
        <v>1</v>
      </c>
    </row>
    <row r="72" spans="1:55" ht="36" customHeight="1" x14ac:dyDescent="0.15">
      <c r="A72" s="157"/>
      <c r="B72" s="174"/>
      <c r="C72" s="278" t="s">
        <v>179</v>
      </c>
      <c r="D72" s="364"/>
      <c r="E72" s="365"/>
      <c r="F72" s="365"/>
      <c r="G72" s="365"/>
      <c r="H72" s="365"/>
      <c r="I72" s="366"/>
      <c r="J72" s="175"/>
      <c r="K72" s="279" t="str">
        <f>IF(OR(AND($D$70="復興公営住宅",COUNTIF(家賃シミュレーションシート!$Z$72:$Z$75,$D$72)=1),AND($D$70="木造仮設住宅を転用した町営の賃貸住宅",COUNTIF(家賃シミュレーションシート!$AA$72:$AA$75,$D$72)=1),$D$70=""),"","※"&amp;$D$70&amp;" に応じた【場所】を選択してください")</f>
        <v/>
      </c>
      <c r="L72" s="157"/>
      <c r="M72" s="157"/>
      <c r="N72" s="157"/>
      <c r="O72" s="157"/>
      <c r="P72" s="157"/>
      <c r="Q72" s="157"/>
      <c r="R72" s="157"/>
      <c r="S72" s="157"/>
      <c r="T72" s="157"/>
      <c r="U72" s="176"/>
      <c r="V72" s="157"/>
      <c r="W72" s="159"/>
      <c r="X72" s="159"/>
      <c r="Y72" s="159"/>
      <c r="Z72" s="400" t="s">
        <v>181</v>
      </c>
      <c r="AA72" s="400" t="s">
        <v>185</v>
      </c>
      <c r="AB72" s="215" t="str">
        <f>IFERROR(INDEX($Z$71:$AA$75,2,MATCH($D$70,$Z$71:$AA$71,0)),"")</f>
        <v/>
      </c>
      <c r="AC72" s="159"/>
      <c r="AD72" s="215">
        <f t="shared" si="1"/>
        <v>259001</v>
      </c>
      <c r="AE72" s="215"/>
      <c r="AF72" s="159"/>
      <c r="AG72" s="215">
        <v>91100</v>
      </c>
      <c r="AH72" s="276" t="str">
        <f ca="1">IF(AND($AA$66&gt;$AD72),"●","")</f>
        <v/>
      </c>
      <c r="AI72" s="276" t="s">
        <v>117</v>
      </c>
      <c r="AJ72" s="159"/>
      <c r="AK72" s="215">
        <v>1</v>
      </c>
      <c r="AL72" s="215">
        <v>1</v>
      </c>
      <c r="AM72" s="215">
        <v>1</v>
      </c>
      <c r="AN72" s="215">
        <v>1</v>
      </c>
      <c r="AO72" s="215">
        <v>1</v>
      </c>
      <c r="AP72" s="215">
        <v>1</v>
      </c>
      <c r="AQ72" s="215">
        <v>1</v>
      </c>
      <c r="AR72" s="215">
        <v>1</v>
      </c>
      <c r="AS72" s="215">
        <v>1</v>
      </c>
      <c r="AT72" s="215">
        <v>1</v>
      </c>
      <c r="AU72" s="215">
        <v>1</v>
      </c>
      <c r="AV72" s="215">
        <v>1</v>
      </c>
      <c r="AW72" s="215">
        <v>1</v>
      </c>
      <c r="AX72" s="215">
        <v>1</v>
      </c>
      <c r="AY72" s="215">
        <v>1</v>
      </c>
      <c r="AZ72" s="215">
        <v>1</v>
      </c>
      <c r="BA72" s="215">
        <v>1</v>
      </c>
      <c r="BB72" s="215">
        <v>1</v>
      </c>
      <c r="BC72" s="215">
        <v>1</v>
      </c>
    </row>
    <row r="73" spans="1:55" ht="9" customHeight="1" x14ac:dyDescent="0.15">
      <c r="A73" s="157"/>
      <c r="B73" s="174"/>
      <c r="C73" s="174"/>
      <c r="D73" s="157"/>
      <c r="E73" s="157"/>
      <c r="F73" s="157"/>
      <c r="G73" s="157"/>
      <c r="H73" s="157"/>
      <c r="I73" s="176"/>
      <c r="J73" s="157"/>
      <c r="K73" s="157"/>
      <c r="L73" s="157"/>
      <c r="M73" s="157"/>
      <c r="N73" s="157"/>
      <c r="O73" s="157"/>
      <c r="P73" s="157"/>
      <c r="Q73" s="157"/>
      <c r="R73" s="157"/>
      <c r="S73" s="157"/>
      <c r="T73" s="157"/>
      <c r="U73" s="176"/>
      <c r="V73" s="157"/>
      <c r="W73" s="159"/>
      <c r="X73" s="159"/>
      <c r="Y73" s="159"/>
      <c r="Z73" s="400" t="s">
        <v>182</v>
      </c>
      <c r="AA73" s="400" t="s">
        <v>186</v>
      </c>
      <c r="AB73" s="215" t="str">
        <f>IFERROR(INDEX($Z$71:$AA$75,3,MATCH($D$70,$Z$71:$AA$71,0)),"")</f>
        <v/>
      </c>
      <c r="AC73" s="159"/>
      <c r="AD73" s="159"/>
      <c r="AE73" s="159"/>
      <c r="AF73" s="159"/>
      <c r="AG73" s="159"/>
      <c r="AH73" s="159"/>
      <c r="AI73" s="159"/>
      <c r="AJ73" s="159"/>
      <c r="AK73" s="159"/>
      <c r="AL73" s="159"/>
      <c r="AM73" s="159"/>
      <c r="AN73" s="159"/>
      <c r="AO73" s="159"/>
      <c r="AP73" s="159"/>
      <c r="AQ73" s="159"/>
      <c r="AR73" s="159"/>
      <c r="AS73" s="159"/>
      <c r="AT73" s="159"/>
      <c r="AU73" s="159"/>
      <c r="AV73" s="159"/>
      <c r="AW73" s="159"/>
      <c r="AX73" s="159"/>
      <c r="AY73" s="159"/>
      <c r="AZ73" s="159"/>
      <c r="BA73" s="159"/>
      <c r="BB73" s="159"/>
      <c r="BC73" s="159"/>
    </row>
    <row r="74" spans="1:55" ht="36.75" customHeight="1" x14ac:dyDescent="0.15">
      <c r="A74" s="157"/>
      <c r="B74" s="174"/>
      <c r="C74" s="278" t="s">
        <v>101</v>
      </c>
      <c r="D74" s="364"/>
      <c r="E74" s="365"/>
      <c r="F74" s="365"/>
      <c r="G74" s="365"/>
      <c r="H74" s="365"/>
      <c r="I74" s="366"/>
      <c r="J74" s="157"/>
      <c r="K74" s="279" t="str">
        <f>IF(OR(AND($D$70="復興公営住宅",COUNTIF(家賃シミュレーションシート!$Z$78:$Z$80,$D$74)=1),AND($D$70="木造仮設住宅を転用した町営の賃貸住宅",COUNTIF(家賃シミュレーションシート!$AA$78:$AA$80,$D$74)=1),$D$70=""),"","※"&amp;$D$70&amp;" に応じた【間取り】を選択してください")</f>
        <v/>
      </c>
      <c r="L74" s="157"/>
      <c r="M74" s="157"/>
      <c r="N74" s="157"/>
      <c r="O74" s="157"/>
      <c r="P74" s="157"/>
      <c r="Q74" s="157"/>
      <c r="R74" s="157"/>
      <c r="S74" s="157"/>
      <c r="T74" s="157"/>
      <c r="U74" s="176"/>
      <c r="V74" s="157"/>
      <c r="W74" s="159"/>
      <c r="X74" s="159"/>
      <c r="Y74" s="159"/>
      <c r="Z74" s="400" t="s">
        <v>183</v>
      </c>
      <c r="AA74" s="400" t="s">
        <v>187</v>
      </c>
      <c r="AB74" s="215" t="str">
        <f>IFERROR(INDEX($Z$71:$AA$75,4,MATCH($D$70,$Z$71:$AA$71,0)),"")</f>
        <v/>
      </c>
      <c r="AC74" s="159"/>
      <c r="AD74" s="159"/>
      <c r="AE74" s="159"/>
      <c r="AF74" s="159"/>
      <c r="AG74" s="159"/>
      <c r="AH74" s="159"/>
      <c r="AI74" s="159"/>
      <c r="AJ74" s="159"/>
      <c r="AK74" s="159"/>
      <c r="AL74" s="159"/>
      <c r="AM74" s="159"/>
      <c r="AN74" s="159"/>
      <c r="AO74" s="159"/>
      <c r="AP74" s="159"/>
      <c r="AQ74" s="159"/>
      <c r="AR74" s="159"/>
      <c r="AS74" s="159"/>
      <c r="AT74" s="159"/>
      <c r="AU74" s="159"/>
      <c r="AV74" s="159"/>
      <c r="AW74" s="159"/>
      <c r="AX74" s="159"/>
      <c r="AY74" s="159"/>
      <c r="AZ74" s="159"/>
      <c r="BA74" s="159"/>
      <c r="BB74" s="159"/>
      <c r="BC74" s="159"/>
    </row>
    <row r="75" spans="1:55" ht="17.100000000000001" customHeight="1" x14ac:dyDescent="0.15">
      <c r="A75" s="157"/>
      <c r="B75" s="174"/>
      <c r="C75" s="157"/>
      <c r="D75" s="157"/>
      <c r="E75" s="157"/>
      <c r="F75" s="157"/>
      <c r="G75" s="157"/>
      <c r="H75" s="157"/>
      <c r="I75" s="157"/>
      <c r="J75" s="157"/>
      <c r="K75" s="157"/>
      <c r="L75" s="157"/>
      <c r="M75" s="157"/>
      <c r="N75" s="157"/>
      <c r="O75" s="157"/>
      <c r="P75" s="157"/>
      <c r="Q75" s="157"/>
      <c r="R75" s="157"/>
      <c r="S75" s="157"/>
      <c r="T75" s="157"/>
      <c r="U75" s="176"/>
      <c r="V75" s="157"/>
      <c r="W75" s="159"/>
      <c r="X75" s="159"/>
      <c r="Y75" s="159"/>
      <c r="Z75" s="400" t="s">
        <v>184</v>
      </c>
      <c r="AA75" s="400" t="s">
        <v>188</v>
      </c>
      <c r="AB75" s="215" t="str">
        <f>IFERROR(INDEX($Z$71:$AA$75,5,MATCH($D$70,$Z$71:$AA$71,0)),"")</f>
        <v/>
      </c>
      <c r="AC75" s="159"/>
      <c r="AD75" s="159"/>
      <c r="AE75" s="159"/>
      <c r="AF75" s="159"/>
      <c r="AG75" s="272" t="s">
        <v>120</v>
      </c>
      <c r="AH75" s="272" t="s">
        <v>108</v>
      </c>
      <c r="AI75" s="159"/>
      <c r="AJ75" s="159"/>
      <c r="AK75" s="159"/>
      <c r="AL75" s="159"/>
      <c r="AM75" s="159"/>
      <c r="AN75" s="159"/>
      <c r="AO75" s="159"/>
      <c r="AP75" s="159"/>
      <c r="AQ75" s="159"/>
      <c r="AR75" s="159"/>
      <c r="AS75" s="159"/>
      <c r="AT75" s="159"/>
      <c r="AU75" s="159"/>
      <c r="AV75" s="159"/>
      <c r="AW75" s="159"/>
      <c r="AX75" s="159"/>
      <c r="AY75" s="159"/>
      <c r="AZ75" s="159"/>
      <c r="BA75" s="159"/>
      <c r="BB75" s="159"/>
      <c r="BC75" s="159"/>
    </row>
    <row r="76" spans="1:55" ht="17.100000000000001" customHeight="1" x14ac:dyDescent="0.15">
      <c r="A76" s="157"/>
      <c r="B76" s="174"/>
      <c r="C76" s="170" t="s">
        <v>197</v>
      </c>
      <c r="D76" s="166"/>
      <c r="E76" s="166"/>
      <c r="F76" s="166"/>
      <c r="G76" s="166"/>
      <c r="H76" s="166"/>
      <c r="I76" s="166"/>
      <c r="J76" s="166"/>
      <c r="K76" s="166"/>
      <c r="L76" s="170" t="s">
        <v>455</v>
      </c>
      <c r="M76" s="166"/>
      <c r="N76" s="166"/>
      <c r="O76" s="166"/>
      <c r="P76" s="166"/>
      <c r="Q76" s="166"/>
      <c r="R76" s="166"/>
      <c r="S76" s="166"/>
      <c r="T76" s="157"/>
      <c r="U76" s="176"/>
      <c r="V76" s="157"/>
      <c r="W76" s="159"/>
      <c r="X76" s="159"/>
      <c r="Y76" s="159"/>
      <c r="Z76" s="159"/>
      <c r="AA76" s="159"/>
      <c r="AB76" s="159"/>
      <c r="AC76" s="159"/>
      <c r="AD76" s="159"/>
      <c r="AE76" s="159"/>
      <c r="AF76" s="159"/>
      <c r="AG76" s="280" t="s">
        <v>121</v>
      </c>
      <c r="AH76" s="276" t="str">
        <f ca="1">IF($AB$47="該当",IF(COUNTIF($AH$65:$AH$70,"●")&gt;=1,"●",""),IF(COUNTIF($AH$65:$AH$68,"●")&gt;=1,"●",""))</f>
        <v>●</v>
      </c>
      <c r="AI76" s="159"/>
      <c r="AJ76" s="159"/>
      <c r="AK76" s="159"/>
      <c r="AL76" s="159"/>
      <c r="AM76" s="159"/>
      <c r="AN76" s="159"/>
      <c r="AO76" s="159"/>
      <c r="AP76" s="159"/>
      <c r="AQ76" s="159"/>
      <c r="AR76" s="159"/>
      <c r="AS76" s="159"/>
      <c r="AT76" s="159"/>
      <c r="AU76" s="159"/>
      <c r="AV76" s="159"/>
      <c r="AW76" s="159"/>
      <c r="AX76" s="159"/>
      <c r="AY76" s="159"/>
      <c r="AZ76" s="159"/>
      <c r="BA76" s="159"/>
      <c r="BB76" s="159"/>
      <c r="BC76" s="159"/>
    </row>
    <row r="77" spans="1:55" ht="25.5" customHeight="1" x14ac:dyDescent="0.15">
      <c r="A77" s="157"/>
      <c r="B77" s="174"/>
      <c r="C77" s="281" t="s">
        <v>101</v>
      </c>
      <c r="D77" s="344" t="s">
        <v>168</v>
      </c>
      <c r="E77" s="344"/>
      <c r="F77" s="344"/>
      <c r="G77" s="344" t="s">
        <v>172</v>
      </c>
      <c r="H77" s="344"/>
      <c r="I77" s="344" t="s">
        <v>102</v>
      </c>
      <c r="J77" s="344"/>
      <c r="K77" s="157"/>
      <c r="L77" s="281" t="s">
        <v>101</v>
      </c>
      <c r="M77" s="281" t="s">
        <v>168</v>
      </c>
      <c r="N77" s="344" t="s">
        <v>172</v>
      </c>
      <c r="O77" s="344"/>
      <c r="P77" s="344" t="s">
        <v>102</v>
      </c>
      <c r="Q77" s="344"/>
      <c r="R77" s="157"/>
      <c r="S77" s="157"/>
      <c r="T77" s="157"/>
      <c r="U77" s="176"/>
      <c r="V77" s="157"/>
      <c r="W77" s="159"/>
      <c r="X77" s="159"/>
      <c r="Y77" s="159"/>
      <c r="Z77" s="398" t="s">
        <v>196</v>
      </c>
      <c r="AA77" s="399" t="s">
        <v>454</v>
      </c>
      <c r="AB77" s="215" t="s">
        <v>476</v>
      </c>
      <c r="AC77" s="159"/>
      <c r="AD77" s="159"/>
      <c r="AE77" s="159"/>
      <c r="AF77" s="159"/>
      <c r="AG77" s="280" t="s">
        <v>122</v>
      </c>
      <c r="AH77" s="276" t="str">
        <f ca="1">IF($AB$47="該当",IF(COUNTIF($AH$71:$AH$72,"●")&gt;=1,"●",""),IF(COUNTIF($AH$69:$AH$72,"●")&gt;=1,"●",""))</f>
        <v/>
      </c>
      <c r="AI77" s="159"/>
      <c r="AJ77" s="159"/>
      <c r="AK77" s="159"/>
      <c r="AL77" s="159"/>
      <c r="AM77" s="159"/>
      <c r="AN77" s="159"/>
      <c r="AO77" s="159"/>
      <c r="AP77" s="159"/>
      <c r="AQ77" s="159"/>
      <c r="AR77" s="159"/>
      <c r="AS77" s="159"/>
      <c r="AT77" s="159"/>
      <c r="AU77" s="159"/>
      <c r="AV77" s="159"/>
      <c r="AW77" s="159"/>
      <c r="AX77" s="159"/>
      <c r="AY77" s="159"/>
      <c r="AZ77" s="159"/>
      <c r="BA77" s="159"/>
      <c r="BB77" s="159"/>
      <c r="BC77" s="159"/>
    </row>
    <row r="78" spans="1:55" ht="25.5" customHeight="1" x14ac:dyDescent="0.15">
      <c r="A78" s="157"/>
      <c r="B78" s="174"/>
      <c r="C78" s="282" t="s">
        <v>167</v>
      </c>
      <c r="D78" s="342" t="s">
        <v>171</v>
      </c>
      <c r="E78" s="342"/>
      <c r="F78" s="342"/>
      <c r="G78" s="342" t="s">
        <v>204</v>
      </c>
      <c r="H78" s="342"/>
      <c r="I78" s="342" t="s">
        <v>207</v>
      </c>
      <c r="J78" s="342"/>
      <c r="K78" s="157"/>
      <c r="L78" s="282" t="s">
        <v>198</v>
      </c>
      <c r="M78" s="283" t="s">
        <v>171</v>
      </c>
      <c r="N78" s="342" t="s">
        <v>201</v>
      </c>
      <c r="O78" s="342"/>
      <c r="P78" s="342" t="s">
        <v>210</v>
      </c>
      <c r="Q78" s="342"/>
      <c r="R78" s="157"/>
      <c r="S78" s="157"/>
      <c r="T78" s="157"/>
      <c r="U78" s="176"/>
      <c r="V78" s="157"/>
      <c r="W78" s="159"/>
      <c r="X78" s="159"/>
      <c r="Y78" s="159"/>
      <c r="Z78" s="400" t="s">
        <v>189</v>
      </c>
      <c r="AA78" s="400" t="s">
        <v>193</v>
      </c>
      <c r="AB78" s="215" t="str">
        <f>IFERROR(INDEX($Z$77:$AA$80,2,MATCH($D$70,$Z$77:$AA$77,0)),"")</f>
        <v/>
      </c>
      <c r="AC78" s="159"/>
      <c r="AD78" s="159"/>
      <c r="AE78" s="159"/>
      <c r="AF78" s="159"/>
      <c r="AG78" s="280" t="s">
        <v>123</v>
      </c>
      <c r="AH78" s="276" t="str">
        <f ca="1">IF($AA$66&gt;313000,"●","")</f>
        <v/>
      </c>
      <c r="AI78" s="159"/>
      <c r="AJ78" s="159"/>
      <c r="AK78" s="159"/>
      <c r="AL78" s="159"/>
      <c r="AM78" s="159"/>
      <c r="AN78" s="159"/>
      <c r="AO78" s="159"/>
      <c r="AP78" s="159"/>
      <c r="AQ78" s="159"/>
      <c r="AR78" s="159"/>
      <c r="AS78" s="159"/>
      <c r="AT78" s="159"/>
      <c r="AU78" s="159"/>
      <c r="AV78" s="159"/>
      <c r="AW78" s="159"/>
      <c r="AX78" s="159"/>
      <c r="AY78" s="159"/>
      <c r="AZ78" s="159"/>
      <c r="BA78" s="159"/>
      <c r="BB78" s="159"/>
      <c r="BC78" s="159"/>
    </row>
    <row r="79" spans="1:55" ht="25.5" customHeight="1" x14ac:dyDescent="0.15">
      <c r="A79" s="157"/>
      <c r="B79" s="174"/>
      <c r="C79" s="284" t="s">
        <v>99</v>
      </c>
      <c r="D79" s="343" t="s">
        <v>169</v>
      </c>
      <c r="E79" s="343"/>
      <c r="F79" s="343"/>
      <c r="G79" s="343" t="s">
        <v>205</v>
      </c>
      <c r="H79" s="343"/>
      <c r="I79" s="342" t="s">
        <v>208</v>
      </c>
      <c r="J79" s="342"/>
      <c r="K79" s="157"/>
      <c r="L79" s="282" t="s">
        <v>199</v>
      </c>
      <c r="M79" s="283" t="s">
        <v>169</v>
      </c>
      <c r="N79" s="342" t="s">
        <v>202</v>
      </c>
      <c r="O79" s="342"/>
      <c r="P79" s="342" t="s">
        <v>208</v>
      </c>
      <c r="Q79" s="342"/>
      <c r="R79" s="157"/>
      <c r="S79" s="157"/>
      <c r="T79" s="157"/>
      <c r="U79" s="176"/>
      <c r="V79" s="157"/>
      <c r="W79" s="159"/>
      <c r="X79" s="159"/>
      <c r="Y79" s="159"/>
      <c r="Z79" s="400" t="s">
        <v>191</v>
      </c>
      <c r="AA79" s="400" t="s">
        <v>194</v>
      </c>
      <c r="AB79" s="215" t="str">
        <f>IFERROR(INDEX($Z$77:$AA$80,3,MATCH($D$70,$Z$77:$AA$77,0)),"")</f>
        <v/>
      </c>
      <c r="AC79" s="159"/>
      <c r="AD79" s="159"/>
      <c r="AE79" s="159"/>
      <c r="AF79" s="159"/>
      <c r="AG79" s="159"/>
      <c r="AH79" s="159"/>
      <c r="AI79" s="159"/>
      <c r="AJ79" s="159"/>
      <c r="AK79" s="159"/>
      <c r="AL79" s="159"/>
      <c r="AM79" s="159"/>
      <c r="AN79" s="159"/>
      <c r="AO79" s="159"/>
      <c r="AP79" s="159"/>
      <c r="AQ79" s="159"/>
      <c r="AR79" s="159"/>
      <c r="AS79" s="159"/>
      <c r="AT79" s="159"/>
      <c r="AU79" s="159"/>
      <c r="AV79" s="159"/>
      <c r="AW79" s="159"/>
      <c r="AX79" s="159"/>
      <c r="AY79" s="159"/>
      <c r="AZ79" s="159"/>
      <c r="BA79" s="159"/>
      <c r="BB79" s="159"/>
      <c r="BC79" s="159"/>
    </row>
    <row r="80" spans="1:55" ht="25.5" customHeight="1" x14ac:dyDescent="0.15">
      <c r="A80" s="157"/>
      <c r="B80" s="174"/>
      <c r="C80" s="282" t="s">
        <v>100</v>
      </c>
      <c r="D80" s="342" t="s">
        <v>170</v>
      </c>
      <c r="E80" s="342"/>
      <c r="F80" s="342"/>
      <c r="G80" s="342" t="s">
        <v>206</v>
      </c>
      <c r="H80" s="342"/>
      <c r="I80" s="342" t="s">
        <v>209</v>
      </c>
      <c r="J80" s="342"/>
      <c r="K80" s="157"/>
      <c r="L80" s="282" t="s">
        <v>200</v>
      </c>
      <c r="M80" s="283" t="s">
        <v>170</v>
      </c>
      <c r="N80" s="342" t="s">
        <v>203</v>
      </c>
      <c r="O80" s="342"/>
      <c r="P80" s="342" t="s">
        <v>211</v>
      </c>
      <c r="Q80" s="342"/>
      <c r="R80" s="157"/>
      <c r="S80" s="157"/>
      <c r="T80" s="157"/>
      <c r="U80" s="176"/>
      <c r="V80" s="157"/>
      <c r="W80" s="159"/>
      <c r="X80" s="159"/>
      <c r="Y80" s="159"/>
      <c r="Z80" s="400" t="s">
        <v>192</v>
      </c>
      <c r="AA80" s="400" t="s">
        <v>195</v>
      </c>
      <c r="AB80" s="215" t="str">
        <f>IFERROR(INDEX($Z$77:$AA$80,4,MATCH($D$70,$Z$77:$AA$77,0)),"")</f>
        <v/>
      </c>
      <c r="AC80" s="159"/>
      <c r="AD80" s="159"/>
      <c r="AE80" s="159"/>
      <c r="AF80" s="159"/>
      <c r="AG80" s="159"/>
      <c r="AH80" s="159"/>
      <c r="AI80" s="159"/>
      <c r="AJ80" s="159"/>
      <c r="AK80" s="159"/>
      <c r="AL80" s="159"/>
      <c r="AM80" s="159"/>
      <c r="AN80" s="159"/>
      <c r="AO80" s="159"/>
      <c r="AP80" s="159"/>
      <c r="AQ80" s="159"/>
      <c r="AR80" s="159"/>
      <c r="AS80" s="159"/>
      <c r="AT80" s="159"/>
      <c r="AU80" s="159"/>
      <c r="AV80" s="159"/>
      <c r="AW80" s="159"/>
      <c r="AX80" s="159"/>
      <c r="AY80" s="159"/>
      <c r="AZ80" s="159"/>
      <c r="BA80" s="159"/>
      <c r="BB80" s="159"/>
      <c r="BC80" s="159"/>
    </row>
    <row r="81" spans="1:55" ht="14.1" customHeight="1" x14ac:dyDescent="0.15">
      <c r="A81" s="157"/>
      <c r="B81" s="241"/>
      <c r="C81" s="285"/>
      <c r="D81" s="286"/>
      <c r="E81" s="286"/>
      <c r="F81" s="286"/>
      <c r="G81" s="286"/>
      <c r="H81" s="286"/>
      <c r="I81" s="286"/>
      <c r="J81" s="286"/>
      <c r="K81" s="286"/>
      <c r="L81" s="286"/>
      <c r="M81" s="242"/>
      <c r="N81" s="242"/>
      <c r="O81" s="242"/>
      <c r="P81" s="242"/>
      <c r="Q81" s="242"/>
      <c r="R81" s="242"/>
      <c r="S81" s="242"/>
      <c r="T81" s="242"/>
      <c r="U81" s="243"/>
      <c r="V81" s="157"/>
      <c r="W81" s="159"/>
      <c r="X81" s="159"/>
      <c r="Y81" s="159"/>
      <c r="Z81" s="159"/>
      <c r="AA81" s="159"/>
      <c r="AB81" s="159"/>
      <c r="AC81" s="159"/>
      <c r="AD81" s="159"/>
      <c r="AE81" s="159"/>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59"/>
      <c r="BB81" s="159"/>
      <c r="BC81" s="159"/>
    </row>
    <row r="82" spans="1:55" ht="29.25" customHeight="1" x14ac:dyDescent="0.15">
      <c r="A82" s="157"/>
      <c r="B82" s="157"/>
      <c r="C82" s="245" t="s">
        <v>144</v>
      </c>
      <c r="D82" s="157"/>
      <c r="E82" s="157"/>
      <c r="F82" s="157"/>
      <c r="G82" s="157"/>
      <c r="H82" s="157"/>
      <c r="I82" s="157"/>
      <c r="J82" s="157"/>
      <c r="K82" s="157"/>
      <c r="L82" s="157"/>
      <c r="M82" s="157"/>
      <c r="N82" s="157"/>
      <c r="O82" s="157"/>
      <c r="P82" s="157"/>
      <c r="Q82" s="157"/>
      <c r="R82" s="157"/>
      <c r="S82" s="157"/>
      <c r="T82" s="157"/>
      <c r="U82" s="157"/>
      <c r="V82" s="157"/>
      <c r="W82" s="159"/>
      <c r="X82" s="159"/>
      <c r="Y82" s="159"/>
      <c r="Z82" s="159"/>
      <c r="AA82" s="159"/>
      <c r="AB82" s="159"/>
      <c r="AC82" s="159"/>
      <c r="AD82" s="159"/>
      <c r="AE82" s="159"/>
      <c r="AF82" s="159"/>
      <c r="AG82" s="159"/>
      <c r="AH82" s="159"/>
      <c r="AI82" s="159"/>
      <c r="AJ82" s="159"/>
      <c r="AK82" s="159"/>
      <c r="AL82" s="159"/>
      <c r="AM82" s="159"/>
      <c r="AN82" s="159"/>
      <c r="AO82" s="159"/>
      <c r="AP82" s="159"/>
      <c r="AQ82" s="159"/>
      <c r="AR82" s="159"/>
      <c r="AS82" s="159"/>
      <c r="AT82" s="159"/>
      <c r="AU82" s="159"/>
      <c r="AV82" s="159"/>
      <c r="AW82" s="159"/>
      <c r="AX82" s="159"/>
      <c r="AY82" s="159"/>
      <c r="AZ82" s="159"/>
      <c r="BA82" s="159"/>
      <c r="BB82" s="159"/>
      <c r="BC82" s="159"/>
    </row>
    <row r="83" spans="1:55" ht="29.25" customHeight="1" x14ac:dyDescent="0.15">
      <c r="A83" s="157"/>
      <c r="B83" s="287" t="s">
        <v>142</v>
      </c>
      <c r="C83" s="288"/>
      <c r="D83" s="288"/>
      <c r="E83" s="288"/>
      <c r="F83" s="288"/>
      <c r="G83" s="288"/>
      <c r="H83" s="288"/>
      <c r="I83" s="288"/>
      <c r="J83" s="288"/>
      <c r="K83" s="288"/>
      <c r="L83" s="288"/>
      <c r="M83" s="288"/>
      <c r="N83" s="288"/>
      <c r="O83" s="288"/>
      <c r="P83" s="288"/>
      <c r="Q83" s="288"/>
      <c r="R83" s="288"/>
      <c r="S83" s="288"/>
      <c r="T83" s="288"/>
      <c r="U83" s="289"/>
      <c r="V83" s="157"/>
      <c r="W83" s="159"/>
      <c r="X83" s="159"/>
      <c r="Y83" s="159"/>
      <c r="Z83" s="159"/>
      <c r="AA83" s="159"/>
      <c r="AB83" s="159"/>
      <c r="AC83" s="159"/>
      <c r="AD83" s="159"/>
      <c r="AE83" s="159"/>
      <c r="AF83" s="159"/>
      <c r="AG83" s="159"/>
      <c r="AH83" s="159"/>
      <c r="AI83" s="159"/>
      <c r="AJ83" s="159"/>
      <c r="AK83" s="159"/>
      <c r="AL83" s="159"/>
      <c r="AM83" s="159"/>
      <c r="AN83" s="159"/>
      <c r="AO83" s="159"/>
      <c r="AP83" s="159"/>
      <c r="AQ83" s="159"/>
      <c r="AR83" s="159"/>
      <c r="AS83" s="159"/>
      <c r="AT83" s="159"/>
      <c r="AU83" s="159"/>
      <c r="AV83" s="159"/>
      <c r="AW83" s="159"/>
      <c r="AX83" s="159"/>
      <c r="AY83" s="159"/>
      <c r="AZ83" s="159"/>
      <c r="BA83" s="159"/>
      <c r="BB83" s="159"/>
      <c r="BC83" s="159"/>
    </row>
    <row r="84" spans="1:55" ht="24" customHeight="1" x14ac:dyDescent="0.15">
      <c r="A84" s="157"/>
      <c r="B84" s="290"/>
      <c r="C84" s="291"/>
      <c r="D84" s="292"/>
      <c r="E84" s="292"/>
      <c r="F84" s="292"/>
      <c r="G84" s="292"/>
      <c r="H84" s="292"/>
      <c r="I84" s="292"/>
      <c r="J84" s="292"/>
      <c r="K84" s="292"/>
      <c r="L84" s="292"/>
      <c r="M84" s="292"/>
      <c r="N84" s="292"/>
      <c r="O84" s="292"/>
      <c r="P84" s="292"/>
      <c r="Q84" s="292"/>
      <c r="R84" s="292"/>
      <c r="S84" s="292"/>
      <c r="T84" s="292"/>
      <c r="U84" s="293"/>
      <c r="V84" s="157"/>
      <c r="W84" s="159"/>
      <c r="X84" s="159"/>
      <c r="Y84" s="159"/>
      <c r="Z84" s="159"/>
      <c r="AA84" s="159"/>
      <c r="AB84" s="159"/>
      <c r="AC84" s="159"/>
      <c r="AD84" s="159"/>
      <c r="AE84" s="159"/>
      <c r="AF84" s="159"/>
      <c r="AG84" s="159"/>
      <c r="AH84" s="159"/>
      <c r="AI84" s="159"/>
      <c r="AJ84" s="159"/>
      <c r="AK84" s="159"/>
      <c r="AL84" s="159"/>
      <c r="AM84" s="159"/>
      <c r="AN84" s="159"/>
      <c r="AO84" s="159"/>
      <c r="AP84" s="159"/>
      <c r="AQ84" s="159"/>
      <c r="AR84" s="159"/>
      <c r="AS84" s="159"/>
      <c r="AT84" s="159"/>
      <c r="AU84" s="159"/>
      <c r="AV84" s="159"/>
      <c r="AW84" s="159"/>
      <c r="AX84" s="159"/>
      <c r="AY84" s="159"/>
      <c r="AZ84" s="159"/>
      <c r="BA84" s="159"/>
      <c r="BB84" s="159"/>
      <c r="BC84" s="159"/>
    </row>
    <row r="85" spans="1:55" ht="24" customHeight="1" x14ac:dyDescent="0.15">
      <c r="A85" s="157"/>
      <c r="B85" s="290"/>
      <c r="C85" s="357" t="s">
        <v>470</v>
      </c>
      <c r="D85" s="322" t="s">
        <v>143</v>
      </c>
      <c r="E85" s="323"/>
      <c r="F85" s="323"/>
      <c r="G85" s="324"/>
      <c r="H85" s="367" t="s">
        <v>466</v>
      </c>
      <c r="I85" s="367" t="s">
        <v>465</v>
      </c>
      <c r="J85" s="292"/>
      <c r="K85" s="292"/>
      <c r="L85" s="292"/>
      <c r="M85" s="292"/>
      <c r="N85" s="292"/>
      <c r="O85" s="292"/>
      <c r="P85" s="292"/>
      <c r="Q85" s="294" t="s">
        <v>164</v>
      </c>
      <c r="R85" s="360">
        <f ca="1">AA66</f>
        <v>0</v>
      </c>
      <c r="S85" s="361"/>
      <c r="T85" s="292"/>
      <c r="U85" s="293"/>
      <c r="V85" s="157"/>
      <c r="W85" s="159"/>
      <c r="X85" s="159"/>
      <c r="Y85" s="159"/>
      <c r="Z85" s="159"/>
      <c r="AA85" s="159"/>
      <c r="AB85" s="159"/>
      <c r="AC85" s="159"/>
      <c r="AD85" s="159"/>
      <c r="AE85" s="159"/>
      <c r="AF85" s="159"/>
      <c r="AG85" s="159"/>
      <c r="AH85" s="159"/>
      <c r="AI85" s="159"/>
      <c r="AJ85" s="159"/>
      <c r="AK85" s="159"/>
      <c r="AL85" s="159"/>
      <c r="AM85" s="159"/>
      <c r="AN85" s="159"/>
      <c r="AO85" s="159"/>
      <c r="AP85" s="159"/>
      <c r="AQ85" s="159"/>
      <c r="AR85" s="159"/>
      <c r="AS85" s="159"/>
      <c r="AT85" s="159"/>
      <c r="AU85" s="159"/>
      <c r="AV85" s="159"/>
      <c r="AW85" s="159"/>
      <c r="AX85" s="159"/>
      <c r="AY85" s="159"/>
      <c r="AZ85" s="159"/>
      <c r="BA85" s="159"/>
      <c r="BB85" s="159"/>
      <c r="BC85" s="159"/>
    </row>
    <row r="86" spans="1:55" ht="24" customHeight="1" x14ac:dyDescent="0.15">
      <c r="A86" s="157"/>
      <c r="B86" s="290"/>
      <c r="C86" s="358"/>
      <c r="D86" s="325"/>
      <c r="E86" s="326"/>
      <c r="F86" s="326"/>
      <c r="G86" s="327"/>
      <c r="H86" s="368"/>
      <c r="I86" s="368"/>
      <c r="J86" s="292"/>
      <c r="K86" s="292"/>
      <c r="L86" s="292"/>
      <c r="M86" s="292"/>
      <c r="N86" s="292"/>
      <c r="O86" s="292"/>
      <c r="P86" s="292"/>
      <c r="Q86" s="294" t="s">
        <v>165</v>
      </c>
      <c r="R86" s="362" t="str">
        <f ca="1">VLOOKUP("●",$AH$65:$AI$72,2,0)</f>
        <v>第1分位</v>
      </c>
      <c r="S86" s="363"/>
      <c r="T86" s="292"/>
      <c r="U86" s="293"/>
      <c r="V86" s="157"/>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159"/>
      <c r="BA86" s="159"/>
      <c r="BB86" s="159"/>
      <c r="BC86" s="159"/>
    </row>
    <row r="87" spans="1:55" ht="24" customHeight="1" thickBot="1" x14ac:dyDescent="0.2">
      <c r="A87" s="157"/>
      <c r="B87" s="290"/>
      <c r="C87" s="359"/>
      <c r="D87" s="328"/>
      <c r="E87" s="329"/>
      <c r="F87" s="329"/>
      <c r="G87" s="330"/>
      <c r="H87" s="369"/>
      <c r="I87" s="369"/>
      <c r="J87" s="292"/>
      <c r="K87" s="292"/>
      <c r="L87" s="292"/>
      <c r="M87" s="292"/>
      <c r="N87" s="292"/>
      <c r="O87" s="292"/>
      <c r="P87" s="292"/>
      <c r="Q87" s="294" t="s">
        <v>166</v>
      </c>
      <c r="R87" s="360" t="str">
        <f>$AB$47</f>
        <v>非該当</v>
      </c>
      <c r="S87" s="361"/>
      <c r="T87" s="292"/>
      <c r="U87" s="295"/>
      <c r="V87" s="175"/>
      <c r="W87" s="159"/>
      <c r="X87" s="265" t="s">
        <v>141</v>
      </c>
      <c r="Y87" s="159"/>
      <c r="Z87" s="159"/>
      <c r="AA87" s="159"/>
      <c r="AB87" s="159"/>
      <c r="AC87" s="159"/>
      <c r="AD87" s="159"/>
      <c r="AE87" s="159"/>
      <c r="AF87" s="159"/>
      <c r="AG87" s="159"/>
      <c r="AH87" s="159"/>
      <c r="AI87" s="159"/>
      <c r="AJ87" s="159"/>
      <c r="AK87" s="159"/>
      <c r="AL87" s="159"/>
      <c r="AM87" s="159"/>
      <c r="AN87" s="159"/>
      <c r="AO87" s="159"/>
      <c r="AP87" s="159"/>
      <c r="AQ87" s="159"/>
      <c r="AR87" s="159"/>
      <c r="AS87" s="159"/>
      <c r="AT87" s="159"/>
      <c r="AU87" s="159"/>
      <c r="AV87" s="159"/>
      <c r="AW87" s="159"/>
      <c r="AX87" s="159"/>
      <c r="AY87" s="159"/>
      <c r="AZ87" s="159"/>
      <c r="BA87" s="159"/>
      <c r="BB87" s="159"/>
      <c r="BC87" s="159"/>
    </row>
    <row r="88" spans="1:55" ht="18" customHeight="1" x14ac:dyDescent="0.15">
      <c r="A88" s="157"/>
      <c r="B88" s="290"/>
      <c r="C88" s="338" t="s">
        <v>458</v>
      </c>
      <c r="D88" s="331" t="s">
        <v>394</v>
      </c>
      <c r="E88" s="332"/>
      <c r="F88" s="332"/>
      <c r="G88" s="333"/>
      <c r="H88" s="296" t="s">
        <v>394</v>
      </c>
      <c r="I88" s="297" t="s">
        <v>469</v>
      </c>
      <c r="J88" s="291"/>
      <c r="K88" s="291"/>
      <c r="L88" s="291"/>
      <c r="M88" s="291"/>
      <c r="N88" s="291"/>
      <c r="O88" s="291"/>
      <c r="P88" s="291"/>
      <c r="Q88" s="291"/>
      <c r="R88" s="291"/>
      <c r="S88" s="291"/>
      <c r="T88" s="291"/>
      <c r="U88" s="295"/>
      <c r="V88" s="175"/>
      <c r="W88" s="159"/>
      <c r="X88" s="215">
        <v>0</v>
      </c>
      <c r="Y88" s="159"/>
      <c r="Z88" s="159"/>
      <c r="AA88" s="159"/>
      <c r="AB88" s="159"/>
      <c r="AC88" s="159"/>
      <c r="AD88" s="159"/>
      <c r="AE88" s="159"/>
      <c r="AF88" s="159"/>
      <c r="AG88" s="159"/>
      <c r="AH88" s="159"/>
      <c r="AI88" s="159"/>
      <c r="AJ88" s="159"/>
      <c r="AK88" s="159"/>
      <c r="AL88" s="159"/>
      <c r="AM88" s="159"/>
      <c r="AN88" s="159"/>
      <c r="AO88" s="159"/>
      <c r="AP88" s="159"/>
      <c r="AQ88" s="159"/>
      <c r="AR88" s="159"/>
      <c r="AS88" s="159"/>
      <c r="AT88" s="159"/>
      <c r="AU88" s="159"/>
      <c r="AV88" s="159"/>
      <c r="AW88" s="159"/>
      <c r="AX88" s="159"/>
      <c r="AY88" s="159"/>
      <c r="AZ88" s="159"/>
      <c r="BA88" s="159"/>
      <c r="BB88" s="159"/>
      <c r="BC88" s="159"/>
    </row>
    <row r="89" spans="1:55" ht="18" customHeight="1" x14ac:dyDescent="0.15">
      <c r="A89" s="157"/>
      <c r="B89" s="290"/>
      <c r="C89" s="337"/>
      <c r="D89" s="334" t="str">
        <f ca="1">IF(COUNTBLANK($K$72:$K$74)=3,IFERROR(MIN(OFFSET(家賃・近傍同種計算!$G$25,MATCH("●",家賃・近傍同種計算!$B$25:$B$32,0)-1,$X88+IF($D$70="木造仮設住宅を転用した町営の賃貸住宅",3,0))),""),"")</f>
        <v/>
      </c>
      <c r="E89" s="335"/>
      <c r="F89" s="335"/>
      <c r="G89" s="336"/>
      <c r="H89" s="298" t="str">
        <f ca="1">IFERROR(SUM($D89*6)/10000,"")</f>
        <v/>
      </c>
      <c r="I89" s="317" t="s">
        <v>386</v>
      </c>
      <c r="J89" s="291"/>
      <c r="K89" s="291"/>
      <c r="L89" s="291"/>
      <c r="M89" s="291"/>
      <c r="N89" s="291"/>
      <c r="O89" s="291"/>
      <c r="P89" s="291"/>
      <c r="Q89" s="291"/>
      <c r="R89" s="291"/>
      <c r="S89" s="291"/>
      <c r="T89" s="291"/>
      <c r="U89" s="295"/>
      <c r="V89" s="175"/>
      <c r="W89" s="159"/>
      <c r="X89" s="215"/>
      <c r="Y89" s="159"/>
      <c r="Z89" s="159"/>
      <c r="AA89" s="159"/>
      <c r="AB89" s="159"/>
      <c r="AC89" s="159"/>
      <c r="AD89" s="159"/>
      <c r="AE89" s="159"/>
      <c r="AF89" s="159"/>
      <c r="AG89" s="159"/>
      <c r="AH89" s="159"/>
      <c r="AI89" s="159"/>
      <c r="AJ89" s="159"/>
      <c r="AK89" s="159"/>
      <c r="AL89" s="159"/>
      <c r="AM89" s="159"/>
      <c r="AN89" s="159"/>
      <c r="AO89" s="159"/>
      <c r="AP89" s="159"/>
      <c r="AQ89" s="159"/>
      <c r="AR89" s="159"/>
      <c r="AS89" s="159"/>
      <c r="AT89" s="159"/>
      <c r="AU89" s="159"/>
      <c r="AV89" s="159"/>
      <c r="AW89" s="159"/>
      <c r="AX89" s="159"/>
      <c r="AY89" s="159"/>
      <c r="AZ89" s="159"/>
      <c r="BA89" s="159"/>
      <c r="BB89" s="159"/>
      <c r="BC89" s="159"/>
    </row>
    <row r="90" spans="1:55" ht="18" customHeight="1" x14ac:dyDescent="0.15">
      <c r="A90" s="157"/>
      <c r="B90" s="290"/>
      <c r="C90" s="337" t="s">
        <v>367</v>
      </c>
      <c r="D90" s="319" t="str">
        <f ca="1">IF(COUNTBLANK($K$72:$K$74)=3,IFERROR(MIN(OFFSET(家賃・近傍同種計算!$G$25,MATCH("●",家賃・近傍同種計算!$B$25:$B$32,0)-1,$X90+IF($D$70="木造仮設住宅を転用した町営の賃貸住宅",3,0)),OFFSET(家賃・近傍同種計算!$G$97,0,$X90+IF($D$70="木造仮設住宅を転用した町営の賃貸住宅",3,0))),""),"")</f>
        <v/>
      </c>
      <c r="E90" s="320"/>
      <c r="F90" s="320"/>
      <c r="G90" s="321"/>
      <c r="H90" s="312" t="str">
        <f ca="1">IFERROR(SUM($D90*12)/10000+$H89,"")</f>
        <v/>
      </c>
      <c r="I90" s="318"/>
      <c r="J90" s="291"/>
      <c r="K90" s="291"/>
      <c r="L90" s="291"/>
      <c r="M90" s="291"/>
      <c r="N90" s="291"/>
      <c r="O90" s="291"/>
      <c r="P90" s="291"/>
      <c r="Q90" s="291"/>
      <c r="R90" s="291"/>
      <c r="S90" s="291"/>
      <c r="T90" s="291"/>
      <c r="U90" s="295"/>
      <c r="V90" s="175"/>
      <c r="W90" s="159"/>
      <c r="X90" s="215">
        <v>1</v>
      </c>
      <c r="Y90" s="159"/>
      <c r="Z90" s="159"/>
      <c r="AA90" s="159"/>
      <c r="AB90" s="159"/>
      <c r="AC90" s="159"/>
      <c r="AD90" s="159"/>
      <c r="AE90" s="159"/>
      <c r="AF90" s="159"/>
      <c r="AG90" s="159"/>
      <c r="AH90" s="159"/>
      <c r="AI90" s="159"/>
      <c r="AJ90" s="159"/>
      <c r="AK90" s="159"/>
      <c r="AL90" s="159"/>
      <c r="AM90" s="159"/>
      <c r="AN90" s="159"/>
      <c r="AO90" s="159"/>
      <c r="AP90" s="159"/>
      <c r="AQ90" s="159"/>
      <c r="AR90" s="159"/>
      <c r="AS90" s="159"/>
      <c r="AT90" s="159"/>
      <c r="AU90" s="159"/>
      <c r="AV90" s="159"/>
      <c r="AW90" s="159"/>
      <c r="AX90" s="159"/>
      <c r="AY90" s="159"/>
      <c r="AZ90" s="159"/>
      <c r="BA90" s="159"/>
      <c r="BB90" s="159"/>
      <c r="BC90" s="159"/>
    </row>
    <row r="91" spans="1:55" ht="18" customHeight="1" x14ac:dyDescent="0.15">
      <c r="A91" s="157"/>
      <c r="B91" s="290"/>
      <c r="C91" s="337"/>
      <c r="D91" s="319"/>
      <c r="E91" s="320"/>
      <c r="F91" s="320"/>
      <c r="G91" s="321"/>
      <c r="H91" s="313"/>
      <c r="I91" s="317" t="s">
        <v>387</v>
      </c>
      <c r="J91" s="291"/>
      <c r="K91" s="291"/>
      <c r="L91" s="291"/>
      <c r="M91" s="291"/>
      <c r="N91" s="291"/>
      <c r="O91" s="291"/>
      <c r="P91" s="291"/>
      <c r="Q91" s="291"/>
      <c r="R91" s="291"/>
      <c r="S91" s="291"/>
      <c r="T91" s="291"/>
      <c r="U91" s="295"/>
      <c r="V91" s="175"/>
      <c r="W91" s="159"/>
      <c r="X91" s="215"/>
      <c r="Y91" s="159"/>
      <c r="Z91" s="159"/>
      <c r="AA91" s="159"/>
      <c r="AB91" s="159"/>
      <c r="AC91" s="159"/>
      <c r="AD91" s="159"/>
      <c r="AE91" s="159"/>
      <c r="AF91" s="159"/>
      <c r="AG91" s="159"/>
      <c r="AH91" s="159"/>
      <c r="AI91" s="159"/>
      <c r="AJ91" s="159"/>
      <c r="AK91" s="159"/>
      <c r="AL91" s="159"/>
      <c r="AM91" s="159"/>
      <c r="AN91" s="159"/>
      <c r="AO91" s="159"/>
      <c r="AP91" s="159"/>
      <c r="AQ91" s="159"/>
      <c r="AR91" s="159"/>
      <c r="AS91" s="159"/>
      <c r="AT91" s="159"/>
      <c r="AU91" s="159"/>
      <c r="AV91" s="159"/>
      <c r="AW91" s="159"/>
      <c r="AX91" s="159"/>
      <c r="AY91" s="159"/>
      <c r="AZ91" s="159"/>
      <c r="BA91" s="159"/>
      <c r="BB91" s="159"/>
      <c r="BC91" s="159"/>
    </row>
    <row r="92" spans="1:55" ht="18" customHeight="1" x14ac:dyDescent="0.15">
      <c r="A92" s="157"/>
      <c r="B92" s="290"/>
      <c r="C92" s="337" t="s">
        <v>368</v>
      </c>
      <c r="D92" s="319" t="str">
        <f ca="1">IF(COUNTBLANK($K$72:$K$74)=3,IFERROR(MIN(OFFSET(家賃・近傍同種計算!$G$25,MATCH("●",家賃・近傍同種計算!$B$25:$B$32,0)-1,$X92+IF($D$70="木造仮設住宅を転用した町営の賃貸住宅",3,0)),OFFSET(家賃・近傍同種計算!$G$97,0,$X92+IF($D$70="木造仮設住宅を転用した町営の賃貸住宅",3,0))),""),"")</f>
        <v/>
      </c>
      <c r="E92" s="320"/>
      <c r="F92" s="320"/>
      <c r="G92" s="321"/>
      <c r="H92" s="312" t="str">
        <f ca="1">IFERROR(SUM($D92*12)/10000+$H90,"")</f>
        <v/>
      </c>
      <c r="I92" s="318"/>
      <c r="J92" s="291"/>
      <c r="K92" s="291"/>
      <c r="L92" s="291"/>
      <c r="M92" s="291"/>
      <c r="N92" s="291"/>
      <c r="O92" s="291"/>
      <c r="P92" s="291"/>
      <c r="Q92" s="291"/>
      <c r="R92" s="291"/>
      <c r="S92" s="291"/>
      <c r="T92" s="291"/>
      <c r="U92" s="295"/>
      <c r="V92" s="175"/>
      <c r="W92" s="159"/>
      <c r="X92" s="215">
        <v>2</v>
      </c>
      <c r="Y92" s="159"/>
      <c r="Z92" s="159"/>
      <c r="AA92" s="159"/>
      <c r="AB92" s="159"/>
      <c r="AC92" s="159"/>
      <c r="AD92" s="159"/>
      <c r="AE92" s="159"/>
      <c r="AF92" s="159"/>
      <c r="AG92" s="159"/>
      <c r="AH92" s="159"/>
      <c r="AI92" s="159"/>
      <c r="AJ92" s="159"/>
      <c r="AK92" s="159"/>
      <c r="AL92" s="159"/>
      <c r="AM92" s="159"/>
      <c r="AN92" s="159"/>
      <c r="AO92" s="159"/>
      <c r="AP92" s="159"/>
      <c r="AQ92" s="159"/>
      <c r="AR92" s="159"/>
      <c r="AS92" s="159"/>
      <c r="AT92" s="159"/>
      <c r="AU92" s="159"/>
      <c r="AV92" s="159"/>
      <c r="AW92" s="159"/>
      <c r="AX92" s="159"/>
      <c r="AY92" s="159"/>
      <c r="AZ92" s="159"/>
      <c r="BA92" s="159"/>
      <c r="BB92" s="159"/>
      <c r="BC92" s="159"/>
    </row>
    <row r="93" spans="1:55" ht="18" customHeight="1" x14ac:dyDescent="0.15">
      <c r="A93" s="157"/>
      <c r="B93" s="290"/>
      <c r="C93" s="337"/>
      <c r="D93" s="319"/>
      <c r="E93" s="320"/>
      <c r="F93" s="320"/>
      <c r="G93" s="321"/>
      <c r="H93" s="313"/>
      <c r="I93" s="317" t="s">
        <v>388</v>
      </c>
      <c r="J93" s="291"/>
      <c r="K93" s="291"/>
      <c r="L93" s="291"/>
      <c r="M93" s="291"/>
      <c r="N93" s="291"/>
      <c r="O93" s="291"/>
      <c r="P93" s="291"/>
      <c r="Q93" s="291"/>
      <c r="R93" s="291"/>
      <c r="S93" s="291"/>
      <c r="T93" s="291"/>
      <c r="U93" s="295"/>
      <c r="V93" s="175"/>
      <c r="W93" s="159"/>
      <c r="X93" s="215"/>
      <c r="Y93" s="159"/>
      <c r="Z93" s="159"/>
      <c r="AA93" s="159"/>
      <c r="AB93" s="159"/>
      <c r="AC93" s="159"/>
      <c r="AD93" s="159"/>
      <c r="AE93" s="159"/>
      <c r="AF93" s="159"/>
      <c r="AG93" s="159"/>
      <c r="AH93" s="159"/>
      <c r="AI93" s="159"/>
      <c r="AJ93" s="159"/>
      <c r="AK93" s="159"/>
      <c r="AL93" s="159"/>
      <c r="AM93" s="159"/>
      <c r="AN93" s="159"/>
      <c r="AO93" s="159"/>
      <c r="AP93" s="159"/>
      <c r="AQ93" s="159"/>
      <c r="AR93" s="159"/>
      <c r="AS93" s="159"/>
      <c r="AT93" s="159"/>
      <c r="AU93" s="159"/>
      <c r="AV93" s="159"/>
      <c r="AW93" s="159"/>
      <c r="AX93" s="159"/>
      <c r="AY93" s="159"/>
      <c r="AZ93" s="159"/>
      <c r="BA93" s="159"/>
      <c r="BB93" s="159"/>
      <c r="BC93" s="159"/>
    </row>
    <row r="94" spans="1:55" ht="18" customHeight="1" x14ac:dyDescent="0.15">
      <c r="A94" s="157"/>
      <c r="B94" s="290"/>
      <c r="C94" s="337" t="s">
        <v>369</v>
      </c>
      <c r="D94" s="319" t="str">
        <f ca="1">IF(COUNTBLANK($K$72:$K$74)=3,IFERROR(MIN(
OFFSET(家賃・近傍同種計算!$G$25,MATCH("●",家賃・近傍同種計算!$B$25:$B$32,0)-1,$X94+IF($D$70="木造仮設住宅を転用した町営の賃貸住宅",3,0)),
OFFSET(家賃・近傍同種計算!$G$97,0,$X94+IF($D$70="木造仮設住宅を転用した町営の賃貸住宅",3,0))
),""),"")</f>
        <v/>
      </c>
      <c r="E94" s="320"/>
      <c r="F94" s="320"/>
      <c r="G94" s="321"/>
      <c r="H94" s="312" t="str">
        <f ca="1">IFERROR(SUM($D94*12)/10000+$H92,"")</f>
        <v/>
      </c>
      <c r="I94" s="318"/>
      <c r="J94" s="291"/>
      <c r="K94" s="291"/>
      <c r="L94" s="291"/>
      <c r="M94" s="291"/>
      <c r="N94" s="291"/>
      <c r="O94" s="291"/>
      <c r="P94" s="291"/>
      <c r="Q94" s="291"/>
      <c r="R94" s="291"/>
      <c r="S94" s="291"/>
      <c r="T94" s="291"/>
      <c r="U94" s="295"/>
      <c r="V94" s="175"/>
      <c r="W94" s="159"/>
      <c r="X94" s="215">
        <v>3</v>
      </c>
      <c r="Y94" s="265"/>
      <c r="Z94" s="159"/>
      <c r="AA94" s="159"/>
      <c r="AB94" s="159"/>
      <c r="AC94" s="159"/>
      <c r="AD94" s="159"/>
      <c r="AE94" s="159"/>
      <c r="AF94" s="159"/>
      <c r="AG94" s="159"/>
      <c r="AH94" s="159"/>
      <c r="AI94" s="159"/>
      <c r="AJ94" s="159"/>
      <c r="AK94" s="159"/>
      <c r="AL94" s="159"/>
      <c r="AM94" s="159"/>
      <c r="AN94" s="159"/>
      <c r="AO94" s="159"/>
      <c r="AP94" s="159"/>
      <c r="AQ94" s="159"/>
      <c r="AR94" s="159"/>
      <c r="AS94" s="159"/>
      <c r="AT94" s="159"/>
      <c r="AU94" s="159"/>
      <c r="AV94" s="159"/>
      <c r="AW94" s="159"/>
      <c r="AX94" s="159"/>
      <c r="AY94" s="159"/>
      <c r="AZ94" s="159"/>
      <c r="BA94" s="159"/>
      <c r="BB94" s="159"/>
      <c r="BC94" s="159"/>
    </row>
    <row r="95" spans="1:55" ht="18" customHeight="1" x14ac:dyDescent="0.15">
      <c r="A95" s="157"/>
      <c r="B95" s="290"/>
      <c r="C95" s="337"/>
      <c r="D95" s="319"/>
      <c r="E95" s="320"/>
      <c r="F95" s="320"/>
      <c r="G95" s="321"/>
      <c r="H95" s="313"/>
      <c r="I95" s="317" t="s">
        <v>389</v>
      </c>
      <c r="J95" s="299"/>
      <c r="K95" s="299"/>
      <c r="L95" s="291"/>
      <c r="M95" s="291"/>
      <c r="N95" s="291"/>
      <c r="O95" s="291"/>
      <c r="P95" s="291"/>
      <c r="Q95" s="291"/>
      <c r="R95" s="291"/>
      <c r="S95" s="291"/>
      <c r="T95" s="291"/>
      <c r="U95" s="295"/>
      <c r="V95" s="175"/>
      <c r="W95" s="159"/>
      <c r="X95" s="215"/>
      <c r="Y95" s="265"/>
      <c r="Z95" s="159"/>
      <c r="AA95" s="159"/>
      <c r="AB95" s="159"/>
      <c r="AC95" s="159"/>
      <c r="AD95" s="159"/>
      <c r="AE95" s="159"/>
      <c r="AF95" s="159"/>
      <c r="AG95" s="159"/>
      <c r="AH95" s="159"/>
      <c r="AI95" s="159"/>
      <c r="AJ95" s="159"/>
      <c r="AK95" s="159"/>
      <c r="AL95" s="159"/>
      <c r="AM95" s="159"/>
      <c r="AN95" s="159"/>
      <c r="AO95" s="159"/>
      <c r="AP95" s="159"/>
      <c r="AQ95" s="159"/>
      <c r="AR95" s="159"/>
      <c r="AS95" s="159"/>
      <c r="AT95" s="159"/>
      <c r="AU95" s="159"/>
      <c r="AV95" s="159"/>
      <c r="AW95" s="159"/>
      <c r="AX95" s="159"/>
      <c r="AY95" s="159"/>
      <c r="AZ95" s="159"/>
      <c r="BA95" s="159"/>
      <c r="BB95" s="159"/>
      <c r="BC95" s="159"/>
    </row>
    <row r="96" spans="1:55" ht="18" customHeight="1" x14ac:dyDescent="0.15">
      <c r="A96" s="157"/>
      <c r="B96" s="290"/>
      <c r="C96" s="337" t="s">
        <v>370</v>
      </c>
      <c r="D96" s="319" t="str">
        <f ca="1">IF(COUNTBLANK($K$72:$K$74)=3,IFERROR(ROUNDDOWN(MIN(
OFFSET(家賃・近傍同種計算!$G$25,MATCH("●",家賃・近傍同種計算!$B$25:$B$32,0)-1,$X96+IF($D$70="木造仮設住宅を転用した町営の賃貸住宅",3,0)),
OFFSET(家賃・近傍同種計算!$G$97,0,$X96+IF($D$70="木造仮設住宅を転用した町営の賃貸住宅",3,0)))
+OFFSET(家賃・近傍同種計算!$G$98,0,$X96+IF($D$70="木造仮設住宅を転用した町営の賃貸住宅",3,0))*IF($AH$77="●",OFFSET($AK$65,MATCH("●",$AH$65:$AH$72,0)-1,$X96-4),0),-2),""),"")</f>
        <v/>
      </c>
      <c r="E96" s="320"/>
      <c r="F96" s="320"/>
      <c r="G96" s="321"/>
      <c r="H96" s="312" t="str">
        <f t="shared" ref="H96" ca="1" si="2">IFERROR(SUM($D96*12)/10000+$H94,"")</f>
        <v/>
      </c>
      <c r="I96" s="318"/>
      <c r="J96" s="314" t="str">
        <f ca="1">IF($AH$77="●","※「収入超過者」に該当する可能性があるため、令和13年度以降はその場合の家賃の目安を示しています。"&amp;CHAR(10)&amp;"　（住戸面積や建設費次第では、この金額より高くなることもあります。）","")</f>
        <v/>
      </c>
      <c r="K96" s="315"/>
      <c r="L96" s="315"/>
      <c r="M96" s="315"/>
      <c r="N96" s="315"/>
      <c r="O96" s="315"/>
      <c r="P96" s="315"/>
      <c r="Q96" s="315"/>
      <c r="R96" s="315"/>
      <c r="S96" s="315"/>
      <c r="T96" s="315"/>
      <c r="U96" s="316"/>
      <c r="V96" s="175"/>
      <c r="W96" s="159"/>
      <c r="X96" s="215">
        <v>4</v>
      </c>
      <c r="Y96" s="265"/>
      <c r="Z96" s="159"/>
      <c r="AA96" s="159"/>
      <c r="AB96" s="159"/>
      <c r="AC96" s="159"/>
      <c r="AD96" s="159"/>
      <c r="AE96" s="159"/>
      <c r="AF96" s="159"/>
      <c r="AG96" s="159"/>
      <c r="AH96" s="159"/>
      <c r="AI96" s="159"/>
      <c r="AJ96" s="159"/>
      <c r="AK96" s="159"/>
      <c r="AL96" s="159"/>
      <c r="AM96" s="159"/>
      <c r="AN96" s="159"/>
      <c r="AO96" s="159"/>
      <c r="AP96" s="159"/>
      <c r="AQ96" s="159"/>
      <c r="AR96" s="159"/>
      <c r="AS96" s="159"/>
      <c r="AT96" s="159"/>
      <c r="AU96" s="159"/>
      <c r="AV96" s="159"/>
      <c r="AW96" s="159"/>
      <c r="AX96" s="159"/>
      <c r="AY96" s="159"/>
      <c r="AZ96" s="159"/>
      <c r="BA96" s="159"/>
      <c r="BB96" s="159"/>
      <c r="BC96" s="159"/>
    </row>
    <row r="97" spans="1:55" ht="18" customHeight="1" x14ac:dyDescent="0.15">
      <c r="A97" s="157"/>
      <c r="B97" s="290"/>
      <c r="C97" s="337"/>
      <c r="D97" s="319"/>
      <c r="E97" s="320"/>
      <c r="F97" s="320"/>
      <c r="G97" s="321"/>
      <c r="H97" s="313"/>
      <c r="I97" s="317" t="s">
        <v>390</v>
      </c>
      <c r="J97" s="314"/>
      <c r="K97" s="315"/>
      <c r="L97" s="315"/>
      <c r="M97" s="315"/>
      <c r="N97" s="315"/>
      <c r="O97" s="315"/>
      <c r="P97" s="315"/>
      <c r="Q97" s="315"/>
      <c r="R97" s="315"/>
      <c r="S97" s="315"/>
      <c r="T97" s="315"/>
      <c r="U97" s="316"/>
      <c r="V97" s="175"/>
      <c r="W97" s="159"/>
      <c r="X97" s="215"/>
      <c r="Y97" s="265"/>
      <c r="Z97" s="159"/>
      <c r="AA97" s="159"/>
      <c r="AB97" s="159"/>
      <c r="AC97" s="159"/>
      <c r="AD97" s="159"/>
      <c r="AE97" s="159"/>
      <c r="AF97" s="159"/>
      <c r="AG97" s="159"/>
      <c r="AH97" s="159"/>
      <c r="AI97" s="159"/>
      <c r="AJ97" s="159"/>
      <c r="AK97" s="159"/>
      <c r="AL97" s="159"/>
      <c r="AM97" s="159"/>
      <c r="AN97" s="159"/>
      <c r="AO97" s="159"/>
      <c r="AP97" s="159"/>
      <c r="AQ97" s="159"/>
      <c r="AR97" s="159"/>
      <c r="AS97" s="159"/>
      <c r="AT97" s="159"/>
      <c r="AU97" s="159"/>
      <c r="AV97" s="159"/>
      <c r="AW97" s="159"/>
      <c r="AX97" s="159"/>
      <c r="AY97" s="159"/>
      <c r="AZ97" s="159"/>
      <c r="BA97" s="159"/>
      <c r="BB97" s="159"/>
      <c r="BC97" s="159"/>
    </row>
    <row r="98" spans="1:55" ht="18" customHeight="1" x14ac:dyDescent="0.15">
      <c r="A98" s="157"/>
      <c r="B98" s="290"/>
      <c r="C98" s="337" t="s">
        <v>371</v>
      </c>
      <c r="D98" s="319" t="str">
        <f ca="1">IF(COUNTBLANK($K$72:$K$74)=3,IFERROR(ROUNDDOWN(MIN(
OFFSET(家賃・近傍同種計算!$G$25,MATCH("●",家賃・近傍同種計算!$B$25:$B$32,0)-1,$X98+IF($D$70="木造仮設住宅を転用した町営の賃貸住宅",3,0)),
OFFSET(家賃・近傍同種計算!$G$97,0,$X98+IF($D$70="木造仮設住宅を転用した町営の賃貸住宅",3,0)))
+OFFSET(家賃・近傍同種計算!$G$98,0,$X98+IF($D$70="木造仮設住宅を転用した町営の賃貸住宅",3,0))*IF($AH$77="●",OFFSET($AK$65,MATCH("●",$AH$65:$AH$72,0)-1,$X98-4),0),-2),""),"")</f>
        <v/>
      </c>
      <c r="E98" s="320"/>
      <c r="F98" s="320"/>
      <c r="G98" s="321"/>
      <c r="H98" s="312" t="str">
        <f t="shared" ref="H98" ca="1" si="3">IFERROR(SUM($D98*12)/10000+$H96,"")</f>
        <v/>
      </c>
      <c r="I98" s="318"/>
      <c r="J98" s="299"/>
      <c r="K98" s="299"/>
      <c r="L98" s="291"/>
      <c r="M98" s="291"/>
      <c r="N98" s="291"/>
      <c r="O98" s="291"/>
      <c r="P98" s="291"/>
      <c r="Q98" s="291"/>
      <c r="R98" s="291"/>
      <c r="S98" s="291"/>
      <c r="T98" s="291"/>
      <c r="U98" s="295"/>
      <c r="V98" s="175"/>
      <c r="W98" s="159"/>
      <c r="X98" s="215">
        <v>5</v>
      </c>
      <c r="Y98" s="265"/>
      <c r="Z98" s="159"/>
      <c r="AA98" s="159"/>
      <c r="AB98" s="159"/>
      <c r="AC98" s="159"/>
      <c r="AD98" s="159"/>
      <c r="AE98" s="159"/>
      <c r="AF98" s="159"/>
      <c r="AG98" s="159"/>
      <c r="AH98" s="159"/>
      <c r="AI98" s="159"/>
      <c r="AJ98" s="159"/>
      <c r="AK98" s="159"/>
      <c r="AL98" s="159"/>
      <c r="AM98" s="159"/>
      <c r="AN98" s="159"/>
      <c r="AO98" s="159"/>
      <c r="AP98" s="159"/>
      <c r="AQ98" s="159"/>
      <c r="AR98" s="159"/>
      <c r="AS98" s="159"/>
      <c r="AT98" s="159"/>
      <c r="AU98" s="159"/>
      <c r="AV98" s="159"/>
      <c r="AW98" s="159"/>
      <c r="AX98" s="159"/>
      <c r="AY98" s="159"/>
      <c r="AZ98" s="159"/>
      <c r="BA98" s="159"/>
      <c r="BB98" s="159"/>
      <c r="BC98" s="159"/>
    </row>
    <row r="99" spans="1:55" ht="18" customHeight="1" x14ac:dyDescent="0.15">
      <c r="A99" s="157"/>
      <c r="B99" s="290"/>
      <c r="C99" s="337"/>
      <c r="D99" s="319"/>
      <c r="E99" s="320"/>
      <c r="F99" s="320"/>
      <c r="G99" s="321"/>
      <c r="H99" s="313"/>
      <c r="I99" s="317" t="s">
        <v>391</v>
      </c>
      <c r="J99" s="299" t="str">
        <f ca="1">IF($AH$78="●","※「高額所得者」に該当し、入居6年目以降に住宅の明渡し請求が行われる可能性があります。","")</f>
        <v/>
      </c>
      <c r="K99" s="299"/>
      <c r="L99" s="291"/>
      <c r="M99" s="291"/>
      <c r="N99" s="291"/>
      <c r="O99" s="291"/>
      <c r="P99" s="291"/>
      <c r="Q99" s="291"/>
      <c r="R99" s="291"/>
      <c r="S99" s="291"/>
      <c r="T99" s="291"/>
      <c r="U99" s="295"/>
      <c r="V99" s="175"/>
      <c r="W99" s="159"/>
      <c r="X99" s="215"/>
      <c r="Y99" s="265"/>
      <c r="Z99" s="159"/>
      <c r="AA99" s="159"/>
      <c r="AB99" s="159"/>
      <c r="AC99" s="159"/>
      <c r="AD99" s="159"/>
      <c r="AE99" s="159"/>
      <c r="AF99" s="159"/>
      <c r="AG99" s="159"/>
      <c r="AH99" s="159"/>
      <c r="AI99" s="159"/>
      <c r="AJ99" s="159"/>
      <c r="AK99" s="159"/>
      <c r="AL99" s="159"/>
      <c r="AM99" s="159"/>
      <c r="AN99" s="159"/>
      <c r="AO99" s="159"/>
      <c r="AP99" s="159"/>
      <c r="AQ99" s="159"/>
      <c r="AR99" s="159"/>
      <c r="AS99" s="159"/>
      <c r="AT99" s="159"/>
      <c r="AU99" s="159"/>
      <c r="AV99" s="159"/>
      <c r="AW99" s="159"/>
      <c r="AX99" s="159"/>
      <c r="AY99" s="159"/>
      <c r="AZ99" s="159"/>
      <c r="BA99" s="159"/>
      <c r="BB99" s="159"/>
      <c r="BC99" s="159"/>
    </row>
    <row r="100" spans="1:55" ht="18" customHeight="1" x14ac:dyDescent="0.15">
      <c r="A100" s="157"/>
      <c r="B100" s="290"/>
      <c r="C100" s="337" t="s">
        <v>372</v>
      </c>
      <c r="D100" s="319" t="str">
        <f ca="1">IF(COUNTBLANK($K$72:$K$74)=3,IFERROR(ROUNDDOWN(MIN(
OFFSET(家賃・近傍同種計算!$G$25,MATCH("●",家賃・近傍同種計算!$B$25:$B$32,0)-1,$X100+IF($D$70="木造仮設住宅を転用した町営の賃貸住宅",3,0)),
OFFSET(家賃・近傍同種計算!$G$97,0,$X100+IF($D$70="木造仮設住宅を転用した町営の賃貸住宅",3,0)))
+OFFSET(家賃・近傍同種計算!$G$98,0,$X100+IF($D$70="木造仮設住宅を転用した町営の賃貸住宅",3,0))*IF($AH$77="●",OFFSET($AK$65,MATCH("●",$AH$65:$AH$72,0)-1,$X100-4),0),-2),""),"")</f>
        <v/>
      </c>
      <c r="E100" s="320"/>
      <c r="F100" s="320"/>
      <c r="G100" s="321"/>
      <c r="H100" s="312" t="str">
        <f t="shared" ref="H100" ca="1" si="4">IFERROR(SUM($D100*12)/10000+$H98,"")</f>
        <v/>
      </c>
      <c r="I100" s="318"/>
      <c r="J100" s="300"/>
      <c r="K100" s="300"/>
      <c r="L100" s="291"/>
      <c r="M100" s="291"/>
      <c r="N100" s="291"/>
      <c r="O100" s="291"/>
      <c r="P100" s="291"/>
      <c r="Q100" s="291"/>
      <c r="R100" s="291"/>
      <c r="S100" s="291"/>
      <c r="T100" s="291"/>
      <c r="U100" s="295"/>
      <c r="V100" s="175"/>
      <c r="W100" s="159"/>
      <c r="X100" s="215">
        <v>6</v>
      </c>
      <c r="Y100" s="265"/>
      <c r="Z100" s="159"/>
      <c r="AA100" s="159"/>
      <c r="AB100" s="159"/>
      <c r="AC100" s="159"/>
      <c r="AD100" s="159"/>
      <c r="AE100" s="159"/>
      <c r="AF100" s="159"/>
      <c r="AG100" s="159"/>
      <c r="AH100" s="159"/>
      <c r="AI100" s="159"/>
      <c r="AJ100" s="159"/>
      <c r="AK100" s="159"/>
      <c r="AL100" s="159"/>
      <c r="AM100" s="159"/>
      <c r="AN100" s="159"/>
      <c r="AO100" s="159"/>
      <c r="AP100" s="159"/>
      <c r="AQ100" s="159"/>
      <c r="AR100" s="159"/>
      <c r="AS100" s="159"/>
      <c r="AT100" s="159"/>
      <c r="AU100" s="159"/>
      <c r="AV100" s="159"/>
      <c r="AW100" s="159"/>
      <c r="AX100" s="159"/>
      <c r="AY100" s="159"/>
      <c r="AZ100" s="159"/>
      <c r="BA100" s="159"/>
      <c r="BB100" s="159"/>
      <c r="BC100" s="159"/>
    </row>
    <row r="101" spans="1:55" ht="18" customHeight="1" x14ac:dyDescent="0.15">
      <c r="A101" s="157"/>
      <c r="B101" s="290"/>
      <c r="C101" s="337"/>
      <c r="D101" s="319"/>
      <c r="E101" s="320"/>
      <c r="F101" s="320"/>
      <c r="G101" s="321"/>
      <c r="H101" s="313"/>
      <c r="I101" s="317" t="s">
        <v>392</v>
      </c>
      <c r="J101" s="300"/>
      <c r="K101" s="300"/>
      <c r="L101" s="291"/>
      <c r="M101" s="291"/>
      <c r="N101" s="291"/>
      <c r="O101" s="291"/>
      <c r="P101" s="291"/>
      <c r="Q101" s="291"/>
      <c r="R101" s="291"/>
      <c r="S101" s="291"/>
      <c r="T101" s="291"/>
      <c r="U101" s="295"/>
      <c r="V101" s="175"/>
      <c r="W101" s="159"/>
      <c r="X101" s="215"/>
      <c r="Y101" s="265"/>
      <c r="Z101" s="159"/>
      <c r="AA101" s="159"/>
      <c r="AB101" s="159"/>
      <c r="AC101" s="159"/>
      <c r="AD101" s="159"/>
      <c r="AE101" s="159"/>
      <c r="AF101" s="159"/>
      <c r="AG101" s="159"/>
      <c r="AH101" s="159"/>
      <c r="AI101" s="159"/>
      <c r="AJ101" s="159"/>
      <c r="AK101" s="159"/>
      <c r="AL101" s="159"/>
      <c r="AM101" s="159"/>
      <c r="AN101" s="159"/>
      <c r="AO101" s="159"/>
      <c r="AP101" s="159"/>
      <c r="AQ101" s="159"/>
      <c r="AR101" s="159"/>
      <c r="AS101" s="159"/>
      <c r="AT101" s="159"/>
      <c r="AU101" s="159"/>
      <c r="AV101" s="159"/>
      <c r="AW101" s="159"/>
      <c r="AX101" s="159"/>
      <c r="AY101" s="159"/>
      <c r="AZ101" s="159"/>
      <c r="BA101" s="159"/>
      <c r="BB101" s="159"/>
      <c r="BC101" s="159"/>
    </row>
    <row r="102" spans="1:55" ht="18" customHeight="1" x14ac:dyDescent="0.15">
      <c r="A102" s="157"/>
      <c r="B102" s="290"/>
      <c r="C102" s="337" t="s">
        <v>373</v>
      </c>
      <c r="D102" s="319" t="str">
        <f ca="1">IF(COUNTBLANK($K$72:$K$74)=3,IFERROR(ROUNDDOWN(MIN(
OFFSET(家賃・近傍同種計算!$G$25,MATCH("●",家賃・近傍同種計算!$B$25:$B$32,0)-1,$X102+IF($D$70="木造仮設住宅を転用した町営の賃貸住宅",3,0)),
OFFSET(家賃・近傍同種計算!$G$97,0,$X102+IF($D$70="木造仮設住宅を転用した町営の賃貸住宅",3,0)))
+OFFSET(家賃・近傍同種計算!$G$98,0,$X102+IF($D$70="木造仮設住宅を転用した町営の賃貸住宅",3,0))*IF($AH$77="●",OFFSET($AK$65,MATCH("●",$AH$65:$AH$72,0)-1,$X102-4),0),-2),""),"")</f>
        <v/>
      </c>
      <c r="E102" s="320"/>
      <c r="F102" s="320"/>
      <c r="G102" s="321"/>
      <c r="H102" s="312" t="str">
        <f t="shared" ref="H102" ca="1" si="5">IFERROR(SUM($D102*12)/10000+$H100,"")</f>
        <v/>
      </c>
      <c r="I102" s="318"/>
      <c r="J102" s="300"/>
      <c r="K102" s="300"/>
      <c r="L102" s="291"/>
      <c r="M102" s="291"/>
      <c r="N102" s="291"/>
      <c r="O102" s="291"/>
      <c r="P102" s="291"/>
      <c r="Q102" s="291"/>
      <c r="R102" s="291"/>
      <c r="S102" s="291"/>
      <c r="T102" s="291"/>
      <c r="U102" s="295"/>
      <c r="V102" s="175"/>
      <c r="W102" s="159"/>
      <c r="X102" s="215">
        <v>7</v>
      </c>
      <c r="Y102" s="265"/>
      <c r="Z102" s="159"/>
      <c r="AA102" s="159"/>
      <c r="AB102" s="159"/>
      <c r="AC102" s="159"/>
      <c r="AD102" s="159"/>
      <c r="AE102" s="159"/>
      <c r="AF102" s="159"/>
      <c r="AG102" s="159"/>
      <c r="AH102" s="159"/>
      <c r="AI102" s="159"/>
      <c r="AJ102" s="159"/>
      <c r="AK102" s="159"/>
      <c r="AL102" s="159"/>
      <c r="AM102" s="159"/>
      <c r="AN102" s="159"/>
      <c r="AO102" s="159"/>
      <c r="AP102" s="159"/>
      <c r="AQ102" s="159"/>
      <c r="AR102" s="159"/>
      <c r="AS102" s="159"/>
      <c r="AT102" s="159"/>
      <c r="AU102" s="159"/>
      <c r="AV102" s="159"/>
      <c r="AW102" s="159"/>
      <c r="AX102" s="159"/>
      <c r="AY102" s="159"/>
      <c r="AZ102" s="159"/>
      <c r="BA102" s="159"/>
      <c r="BB102" s="159"/>
      <c r="BC102" s="159"/>
    </row>
    <row r="103" spans="1:55" ht="18" customHeight="1" x14ac:dyDescent="0.15">
      <c r="A103" s="157"/>
      <c r="B103" s="290"/>
      <c r="C103" s="337"/>
      <c r="D103" s="319"/>
      <c r="E103" s="320"/>
      <c r="F103" s="320"/>
      <c r="G103" s="321"/>
      <c r="H103" s="313"/>
      <c r="I103" s="317" t="s">
        <v>393</v>
      </c>
      <c r="J103" s="300"/>
      <c r="K103" s="300"/>
      <c r="L103" s="291"/>
      <c r="M103" s="291"/>
      <c r="N103" s="291"/>
      <c r="O103" s="291"/>
      <c r="P103" s="291"/>
      <c r="Q103" s="291"/>
      <c r="R103" s="291"/>
      <c r="S103" s="291"/>
      <c r="T103" s="291"/>
      <c r="U103" s="295"/>
      <c r="V103" s="175"/>
      <c r="W103" s="159"/>
      <c r="X103" s="215"/>
      <c r="Y103" s="265"/>
      <c r="Z103" s="159"/>
      <c r="AA103" s="159"/>
      <c r="AB103" s="159"/>
      <c r="AC103" s="159"/>
      <c r="AD103" s="159"/>
      <c r="AE103" s="159"/>
      <c r="AF103" s="159"/>
      <c r="AG103" s="159"/>
      <c r="AH103" s="159"/>
      <c r="AI103" s="159"/>
      <c r="AJ103" s="159"/>
      <c r="AK103" s="159"/>
      <c r="AL103" s="159"/>
      <c r="AM103" s="159"/>
      <c r="AN103" s="159"/>
      <c r="AO103" s="159"/>
      <c r="AP103" s="159"/>
      <c r="AQ103" s="159"/>
      <c r="AR103" s="159"/>
      <c r="AS103" s="159"/>
      <c r="AT103" s="159"/>
      <c r="AU103" s="159"/>
      <c r="AV103" s="159"/>
      <c r="AW103" s="159"/>
      <c r="AX103" s="159"/>
      <c r="AY103" s="159"/>
      <c r="AZ103" s="159"/>
      <c r="BA103" s="159"/>
      <c r="BB103" s="159"/>
      <c r="BC103" s="159"/>
    </row>
    <row r="104" spans="1:55" ht="18" customHeight="1" x14ac:dyDescent="0.15">
      <c r="A104" s="157"/>
      <c r="B104" s="290"/>
      <c r="C104" s="337" t="s">
        <v>374</v>
      </c>
      <c r="D104" s="319" t="str">
        <f ca="1">IF(COUNTBLANK($K$72:$K$74)=3,IFERROR(ROUNDDOWN(MIN(
OFFSET(家賃・近傍同種計算!$G$25,MATCH("●",家賃・近傍同種計算!$B$25:$B$32,0)-1,$X104+IF($D$70="木造仮設住宅を転用した町営の賃貸住宅",3,0)),
OFFSET(家賃・近傍同種計算!$G$97,0,$X104+IF($D$70="木造仮設住宅を転用した町営の賃貸住宅",3,0)))
+OFFSET(家賃・近傍同種計算!$G$98,0,$X104+IF($D$70="木造仮設住宅を転用した町営の賃貸住宅",3,0))*IF($AH$77="●",OFFSET($AK$65,MATCH("●",$AH$65:$AH$72,0)-1,$X104-4),0),-2),""),"")</f>
        <v/>
      </c>
      <c r="E104" s="320"/>
      <c r="F104" s="320"/>
      <c r="G104" s="321"/>
      <c r="H104" s="312" t="str">
        <f t="shared" ref="H104" ca="1" si="6">IFERROR(SUM($D104*12)/10000+$H102,"")</f>
        <v/>
      </c>
      <c r="I104" s="318"/>
      <c r="J104" s="300"/>
      <c r="K104" s="300"/>
      <c r="L104" s="291"/>
      <c r="M104" s="291"/>
      <c r="N104" s="291"/>
      <c r="O104" s="291"/>
      <c r="P104" s="291"/>
      <c r="Q104" s="291"/>
      <c r="R104" s="291"/>
      <c r="S104" s="291"/>
      <c r="T104" s="291"/>
      <c r="U104" s="295"/>
      <c r="V104" s="175"/>
      <c r="W104" s="159"/>
      <c r="X104" s="215">
        <v>8</v>
      </c>
      <c r="Y104" s="265"/>
      <c r="Z104" s="159"/>
      <c r="AA104" s="159"/>
      <c r="AB104" s="159"/>
      <c r="AC104" s="159"/>
      <c r="AD104" s="159"/>
      <c r="AE104" s="159"/>
      <c r="AF104" s="159"/>
      <c r="AG104" s="159"/>
      <c r="AH104" s="159"/>
      <c r="AI104" s="159"/>
      <c r="AJ104" s="159"/>
      <c r="AK104" s="159"/>
      <c r="AL104" s="159"/>
      <c r="AM104" s="159"/>
      <c r="AN104" s="159"/>
      <c r="AO104" s="159"/>
      <c r="AP104" s="159"/>
      <c r="AQ104" s="159"/>
      <c r="AR104" s="159"/>
      <c r="AS104" s="159"/>
      <c r="AT104" s="159"/>
      <c r="AU104" s="159"/>
      <c r="AV104" s="159"/>
      <c r="AW104" s="159"/>
      <c r="AX104" s="159"/>
      <c r="AY104" s="159"/>
      <c r="AZ104" s="159"/>
      <c r="BA104" s="159"/>
      <c r="BB104" s="159"/>
      <c r="BC104" s="159"/>
    </row>
    <row r="105" spans="1:55" ht="18" customHeight="1" x14ac:dyDescent="0.15">
      <c r="A105" s="157"/>
      <c r="B105" s="290"/>
      <c r="C105" s="337"/>
      <c r="D105" s="319"/>
      <c r="E105" s="320"/>
      <c r="F105" s="320"/>
      <c r="G105" s="321"/>
      <c r="H105" s="313"/>
      <c r="I105" s="317" t="s">
        <v>395</v>
      </c>
      <c r="J105" s="300"/>
      <c r="K105" s="300"/>
      <c r="L105" s="291"/>
      <c r="M105" s="291"/>
      <c r="N105" s="291"/>
      <c r="O105" s="291"/>
      <c r="P105" s="291"/>
      <c r="Q105" s="291"/>
      <c r="R105" s="291"/>
      <c r="S105" s="291"/>
      <c r="T105" s="291"/>
      <c r="U105" s="295"/>
      <c r="V105" s="175"/>
      <c r="W105" s="159"/>
      <c r="X105" s="215"/>
      <c r="Y105" s="265"/>
      <c r="Z105" s="159"/>
      <c r="AA105" s="159"/>
      <c r="AB105" s="159"/>
      <c r="AC105" s="159"/>
      <c r="AD105" s="159"/>
      <c r="AE105" s="159"/>
      <c r="AF105" s="159"/>
      <c r="AG105" s="159"/>
      <c r="AH105" s="159"/>
      <c r="AI105" s="159"/>
      <c r="AJ105" s="159"/>
      <c r="AK105" s="159"/>
      <c r="AL105" s="159"/>
      <c r="AM105" s="159"/>
      <c r="AN105" s="159"/>
      <c r="AO105" s="159"/>
      <c r="AP105" s="159"/>
      <c r="AQ105" s="159"/>
      <c r="AR105" s="159"/>
      <c r="AS105" s="159"/>
      <c r="AT105" s="159"/>
      <c r="AU105" s="159"/>
      <c r="AV105" s="159"/>
      <c r="AW105" s="159"/>
      <c r="AX105" s="159"/>
      <c r="AY105" s="159"/>
      <c r="AZ105" s="159"/>
      <c r="BA105" s="159"/>
      <c r="BB105" s="159"/>
      <c r="BC105" s="159"/>
    </row>
    <row r="106" spans="1:55" ht="18" customHeight="1" x14ac:dyDescent="0.15">
      <c r="A106" s="157"/>
      <c r="B106" s="290"/>
      <c r="C106" s="337" t="s">
        <v>375</v>
      </c>
      <c r="D106" s="319" t="str">
        <f ca="1">IF(COUNTBLANK($K$72:$K$74)=3,IFERROR(ROUNDDOWN(MIN(
OFFSET(家賃・近傍同種計算!$G$25,MATCH("●",家賃・近傍同種計算!$B$25:$B$32,0)-1,$X106+IF($D$70="木造仮設住宅を転用した町営の賃貸住宅",3,0)),
OFFSET(家賃・近傍同種計算!$G$97,0,$X106+IF($D$70="木造仮設住宅を転用した町営の賃貸住宅",3,0)))
+OFFSET(家賃・近傍同種計算!$G$98,0,$X106+IF($D$70="木造仮設住宅を転用した町営の賃貸住宅",3,0))*IF($AH$77="●",OFFSET($AK$65,MATCH("●",$AH$65:$AH$72,0)-1,$X106-4),0),-2),""),"")</f>
        <v/>
      </c>
      <c r="E106" s="320"/>
      <c r="F106" s="320"/>
      <c r="G106" s="321"/>
      <c r="H106" s="312" t="str">
        <f t="shared" ref="H106" ca="1" si="7">IFERROR(SUM($D106*12)/10000+$H104,"")</f>
        <v/>
      </c>
      <c r="I106" s="318"/>
      <c r="J106" s="300"/>
      <c r="K106" s="300"/>
      <c r="L106" s="291"/>
      <c r="M106" s="291"/>
      <c r="N106" s="291"/>
      <c r="O106" s="291"/>
      <c r="P106" s="291"/>
      <c r="Q106" s="291"/>
      <c r="R106" s="291"/>
      <c r="S106" s="291"/>
      <c r="T106" s="291"/>
      <c r="U106" s="295"/>
      <c r="V106" s="175"/>
      <c r="W106" s="159"/>
      <c r="X106" s="215">
        <v>9</v>
      </c>
      <c r="Y106" s="265"/>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59"/>
      <c r="AY106" s="159"/>
      <c r="AZ106" s="159"/>
      <c r="BA106" s="159"/>
      <c r="BB106" s="159"/>
      <c r="BC106" s="159"/>
    </row>
    <row r="107" spans="1:55" ht="18" customHeight="1" x14ac:dyDescent="0.15">
      <c r="A107" s="157"/>
      <c r="B107" s="290"/>
      <c r="C107" s="337"/>
      <c r="D107" s="319"/>
      <c r="E107" s="320"/>
      <c r="F107" s="320"/>
      <c r="G107" s="321"/>
      <c r="H107" s="313"/>
      <c r="I107" s="317" t="s">
        <v>396</v>
      </c>
      <c r="J107" s="300"/>
      <c r="K107" s="300"/>
      <c r="L107" s="291"/>
      <c r="M107" s="291"/>
      <c r="N107" s="291"/>
      <c r="O107" s="291"/>
      <c r="P107" s="291"/>
      <c r="Q107" s="291"/>
      <c r="R107" s="291"/>
      <c r="S107" s="291"/>
      <c r="T107" s="291"/>
      <c r="U107" s="295"/>
      <c r="V107" s="175"/>
      <c r="W107" s="159"/>
      <c r="X107" s="215"/>
      <c r="Y107" s="265"/>
      <c r="Z107" s="159"/>
      <c r="AA107" s="159"/>
      <c r="AB107" s="159"/>
      <c r="AC107" s="159"/>
      <c r="AD107" s="159"/>
      <c r="AE107" s="159"/>
      <c r="AF107" s="159"/>
      <c r="AG107" s="159"/>
      <c r="AH107" s="159"/>
      <c r="AI107" s="159"/>
      <c r="AJ107" s="159"/>
      <c r="AK107" s="159"/>
      <c r="AL107" s="159"/>
      <c r="AM107" s="159"/>
      <c r="AN107" s="159"/>
      <c r="AO107" s="159"/>
      <c r="AP107" s="159"/>
      <c r="AQ107" s="159"/>
      <c r="AR107" s="159"/>
      <c r="AS107" s="159"/>
      <c r="AT107" s="159"/>
      <c r="AU107" s="159"/>
      <c r="AV107" s="159"/>
      <c r="AW107" s="159"/>
      <c r="AX107" s="159"/>
      <c r="AY107" s="159"/>
      <c r="AZ107" s="159"/>
      <c r="BA107" s="159"/>
      <c r="BB107" s="159"/>
      <c r="BC107" s="159"/>
    </row>
    <row r="108" spans="1:55" ht="18" customHeight="1" x14ac:dyDescent="0.15">
      <c r="A108" s="157"/>
      <c r="B108" s="290"/>
      <c r="C108" s="337" t="s">
        <v>376</v>
      </c>
      <c r="D108" s="319" t="str">
        <f ca="1">IF(COUNTBLANK($K$72:$K$74)=3,IFERROR(ROUNDDOWN(MIN(
OFFSET(家賃・近傍同種計算!$G$25,MATCH("●",家賃・近傍同種計算!$B$25:$B$32,0)-1,$X108+IF($D$70="木造仮設住宅を転用した町営の賃貸住宅",3,0)),
OFFSET(家賃・近傍同種計算!$G$97,0,$X108+IF($D$70="木造仮設住宅を転用した町営の賃貸住宅",3,0)))
+OFFSET(家賃・近傍同種計算!$G$98,0,$X108+IF($D$70="木造仮設住宅を転用した町営の賃貸住宅",3,0))*IF($AH$77="●",OFFSET($AK$65,MATCH("●",$AH$65:$AH$72,0)-1,$X108-4),0),-2),""),"")</f>
        <v/>
      </c>
      <c r="E108" s="320"/>
      <c r="F108" s="320"/>
      <c r="G108" s="321"/>
      <c r="H108" s="312" t="str">
        <f t="shared" ref="H108" ca="1" si="8">IFERROR(SUM($D108*12)/10000+$H106,"")</f>
        <v/>
      </c>
      <c r="I108" s="318"/>
      <c r="J108" s="291"/>
      <c r="K108" s="291"/>
      <c r="L108" s="291"/>
      <c r="M108" s="291"/>
      <c r="N108" s="291"/>
      <c r="O108" s="291"/>
      <c r="P108" s="291"/>
      <c r="Q108" s="291"/>
      <c r="R108" s="291"/>
      <c r="S108" s="291"/>
      <c r="T108" s="291"/>
      <c r="U108" s="295"/>
      <c r="V108" s="175"/>
      <c r="W108" s="159"/>
      <c r="X108" s="215">
        <v>10</v>
      </c>
      <c r="Y108" s="265"/>
      <c r="Z108" s="159"/>
      <c r="AA108" s="159"/>
      <c r="AB108" s="159"/>
      <c r="AC108" s="159"/>
      <c r="AD108" s="159"/>
      <c r="AE108" s="159"/>
      <c r="AF108" s="159"/>
      <c r="AG108" s="159"/>
      <c r="AH108" s="159"/>
      <c r="AI108" s="159"/>
      <c r="AJ108" s="159"/>
      <c r="AK108" s="159"/>
      <c r="AL108" s="159"/>
      <c r="AM108" s="159"/>
      <c r="AN108" s="159"/>
      <c r="AO108" s="159"/>
      <c r="AP108" s="159"/>
      <c r="AQ108" s="159"/>
      <c r="AR108" s="159"/>
      <c r="AS108" s="159"/>
      <c r="AT108" s="159"/>
      <c r="AU108" s="159"/>
      <c r="AV108" s="159"/>
      <c r="AW108" s="159"/>
      <c r="AX108" s="159"/>
      <c r="AY108" s="159"/>
      <c r="AZ108" s="159"/>
      <c r="BA108" s="159"/>
      <c r="BB108" s="159"/>
      <c r="BC108" s="159"/>
    </row>
    <row r="109" spans="1:55" ht="18" customHeight="1" x14ac:dyDescent="0.15">
      <c r="A109" s="157"/>
      <c r="B109" s="290"/>
      <c r="C109" s="337"/>
      <c r="D109" s="319"/>
      <c r="E109" s="320"/>
      <c r="F109" s="320"/>
      <c r="G109" s="321"/>
      <c r="H109" s="313"/>
      <c r="I109" s="317" t="s">
        <v>397</v>
      </c>
      <c r="J109" s="291"/>
      <c r="K109" s="291"/>
      <c r="L109" s="291"/>
      <c r="M109" s="291"/>
      <c r="N109" s="291"/>
      <c r="O109" s="291"/>
      <c r="P109" s="291"/>
      <c r="Q109" s="291"/>
      <c r="R109" s="291"/>
      <c r="S109" s="291"/>
      <c r="T109" s="291"/>
      <c r="U109" s="295"/>
      <c r="V109" s="175"/>
      <c r="W109" s="159"/>
      <c r="X109" s="215"/>
      <c r="Y109" s="265"/>
      <c r="Z109" s="159"/>
      <c r="AA109" s="159"/>
      <c r="AB109" s="159"/>
      <c r="AC109" s="159"/>
      <c r="AD109" s="159"/>
      <c r="AE109" s="159"/>
      <c r="AF109" s="159"/>
      <c r="AG109" s="159"/>
      <c r="AH109" s="159"/>
      <c r="AI109" s="159"/>
      <c r="AJ109" s="159"/>
      <c r="AK109" s="159"/>
      <c r="AL109" s="159"/>
      <c r="AM109" s="159"/>
      <c r="AN109" s="159"/>
      <c r="AO109" s="159"/>
      <c r="AP109" s="159"/>
      <c r="AQ109" s="159"/>
      <c r="AR109" s="159"/>
      <c r="AS109" s="159"/>
      <c r="AT109" s="159"/>
      <c r="AU109" s="159"/>
      <c r="AV109" s="159"/>
      <c r="AW109" s="159"/>
      <c r="AX109" s="159"/>
      <c r="AY109" s="159"/>
      <c r="AZ109" s="159"/>
      <c r="BA109" s="159"/>
      <c r="BB109" s="159"/>
      <c r="BC109" s="159"/>
    </row>
    <row r="110" spans="1:55" ht="18" customHeight="1" x14ac:dyDescent="0.15">
      <c r="A110" s="157"/>
      <c r="B110" s="290"/>
      <c r="C110" s="337" t="s">
        <v>377</v>
      </c>
      <c r="D110" s="319" t="str">
        <f ca="1">IF(COUNTBLANK($K$72:$K$74)=3,IFERROR(ROUNDDOWN(MIN(
OFFSET(家賃・近傍同種計算!$G$25,MATCH("●",家賃・近傍同種計算!$B$25:$B$32,0)-1,$X110+IF($D$70="木造仮設住宅を転用した町営の賃貸住宅",3,0)),
OFFSET(家賃・近傍同種計算!$G$97,0,$X110+IF($D$70="木造仮設住宅を転用した町営の賃貸住宅",3,0)))
+OFFSET(家賃・近傍同種計算!$G$98,0,$X110+IF($D$70="木造仮設住宅を転用した町営の賃貸住宅",3,0))*IF($AH$77="●",OFFSET($AK$65,MATCH("●",$AH$65:$AH$72,0)-1,$X110-4),0),-2),""),"")</f>
        <v/>
      </c>
      <c r="E110" s="320"/>
      <c r="F110" s="320"/>
      <c r="G110" s="321"/>
      <c r="H110" s="312" t="str">
        <f t="shared" ref="H110" ca="1" si="9">IFERROR(SUM($D110*12)/10000+$H108,"")</f>
        <v/>
      </c>
      <c r="I110" s="318"/>
      <c r="J110" s="291"/>
      <c r="K110" s="291"/>
      <c r="L110" s="291"/>
      <c r="M110" s="291"/>
      <c r="N110" s="291"/>
      <c r="O110" s="291"/>
      <c r="P110" s="291"/>
      <c r="Q110" s="291"/>
      <c r="R110" s="291"/>
      <c r="S110" s="291"/>
      <c r="T110" s="291"/>
      <c r="U110" s="295"/>
      <c r="V110" s="175"/>
      <c r="W110" s="159"/>
      <c r="X110" s="215">
        <v>11</v>
      </c>
      <c r="Y110" s="265"/>
      <c r="Z110" s="159"/>
      <c r="AA110" s="159"/>
      <c r="AB110" s="159"/>
      <c r="AC110" s="159"/>
      <c r="AD110" s="159"/>
      <c r="AE110" s="159"/>
      <c r="AF110" s="159"/>
      <c r="AG110" s="159"/>
      <c r="AH110" s="159"/>
      <c r="AI110" s="159"/>
      <c r="AJ110" s="159"/>
      <c r="AK110" s="159"/>
      <c r="AL110" s="159"/>
      <c r="AM110" s="159"/>
      <c r="AN110" s="159"/>
      <c r="AO110" s="159"/>
      <c r="AP110" s="159"/>
      <c r="AQ110" s="159"/>
      <c r="AR110" s="159"/>
      <c r="AS110" s="159"/>
      <c r="AT110" s="159"/>
      <c r="AU110" s="159"/>
      <c r="AV110" s="159"/>
      <c r="AW110" s="159"/>
      <c r="AX110" s="159"/>
      <c r="AY110" s="159"/>
      <c r="AZ110" s="159"/>
      <c r="BA110" s="159"/>
      <c r="BB110" s="159"/>
      <c r="BC110" s="159"/>
    </row>
    <row r="111" spans="1:55" ht="18" customHeight="1" x14ac:dyDescent="0.15">
      <c r="A111" s="157"/>
      <c r="B111" s="290"/>
      <c r="C111" s="337"/>
      <c r="D111" s="319"/>
      <c r="E111" s="320"/>
      <c r="F111" s="320"/>
      <c r="G111" s="321"/>
      <c r="H111" s="313"/>
      <c r="I111" s="317" t="s">
        <v>398</v>
      </c>
      <c r="J111" s="291"/>
      <c r="K111" s="291"/>
      <c r="L111" s="291"/>
      <c r="M111" s="291"/>
      <c r="N111" s="291"/>
      <c r="O111" s="291"/>
      <c r="P111" s="291"/>
      <c r="Q111" s="291"/>
      <c r="R111" s="291"/>
      <c r="S111" s="291"/>
      <c r="T111" s="291"/>
      <c r="U111" s="295"/>
      <c r="V111" s="175"/>
      <c r="W111" s="159"/>
      <c r="X111" s="215"/>
      <c r="Y111" s="265"/>
      <c r="Z111" s="159"/>
      <c r="AA111" s="159"/>
      <c r="AB111" s="159"/>
      <c r="AC111" s="159"/>
      <c r="AD111" s="159"/>
      <c r="AE111" s="159"/>
      <c r="AF111" s="159"/>
      <c r="AG111" s="159"/>
      <c r="AH111" s="159"/>
      <c r="AI111" s="159"/>
      <c r="AJ111" s="159"/>
      <c r="AK111" s="159"/>
      <c r="AL111" s="159"/>
      <c r="AM111" s="159"/>
      <c r="AN111" s="159"/>
      <c r="AO111" s="159"/>
      <c r="AP111" s="159"/>
      <c r="AQ111" s="159"/>
      <c r="AR111" s="159"/>
      <c r="AS111" s="159"/>
      <c r="AT111" s="159"/>
      <c r="AU111" s="159"/>
      <c r="AV111" s="159"/>
      <c r="AW111" s="159"/>
      <c r="AX111" s="159"/>
      <c r="AY111" s="159"/>
      <c r="AZ111" s="159"/>
      <c r="BA111" s="159"/>
      <c r="BB111" s="159"/>
      <c r="BC111" s="159"/>
    </row>
    <row r="112" spans="1:55" ht="18" customHeight="1" x14ac:dyDescent="0.15">
      <c r="A112" s="157"/>
      <c r="B112" s="290"/>
      <c r="C112" s="337" t="s">
        <v>378</v>
      </c>
      <c r="D112" s="319" t="str">
        <f ca="1">IF(COUNTBLANK($K$72:$K$74)=3,IFERROR(ROUNDDOWN(MIN(
OFFSET(家賃・近傍同種計算!$G$25,MATCH("●",家賃・近傍同種計算!$B$25:$B$32,0)-1,$X112+IF($D$70="木造仮設住宅を転用した町営の賃貸住宅",3,0)),
OFFSET(家賃・近傍同種計算!$G$97,0,$X112+IF($D$70="木造仮設住宅を転用した町営の賃貸住宅",3,0)))
+OFFSET(家賃・近傍同種計算!$G$98,0,$X112+IF($D$70="木造仮設住宅を転用した町営の賃貸住宅",3,0))*IF($AH$77="●",OFFSET($AK$65,MATCH("●",$AH$65:$AH$72,0)-1,$X112-4),0),-2),""),"")</f>
        <v/>
      </c>
      <c r="E112" s="320"/>
      <c r="F112" s="320"/>
      <c r="G112" s="321"/>
      <c r="H112" s="312" t="str">
        <f t="shared" ref="H112" ca="1" si="10">IFERROR(SUM($D112*12)/10000+$H110,"")</f>
        <v/>
      </c>
      <c r="I112" s="318"/>
      <c r="J112" s="291"/>
      <c r="K112" s="291"/>
      <c r="L112" s="291"/>
      <c r="M112" s="291"/>
      <c r="N112" s="291"/>
      <c r="O112" s="291"/>
      <c r="P112" s="291"/>
      <c r="Q112" s="291"/>
      <c r="R112" s="291"/>
      <c r="S112" s="291"/>
      <c r="T112" s="291"/>
      <c r="U112" s="295"/>
      <c r="V112" s="175"/>
      <c r="W112" s="159"/>
      <c r="X112" s="215">
        <v>12</v>
      </c>
      <c r="Y112" s="265"/>
      <c r="Z112" s="159"/>
      <c r="AA112" s="159"/>
      <c r="AB112" s="159"/>
      <c r="AC112" s="159"/>
      <c r="AD112" s="159"/>
      <c r="AE112" s="159"/>
      <c r="AF112" s="159"/>
      <c r="AG112" s="159"/>
      <c r="AH112" s="159"/>
      <c r="AI112" s="159"/>
      <c r="AJ112" s="159"/>
      <c r="AK112" s="159"/>
      <c r="AL112" s="159"/>
      <c r="AM112" s="159"/>
      <c r="AN112" s="159"/>
      <c r="AO112" s="159"/>
      <c r="AP112" s="159"/>
      <c r="AQ112" s="159"/>
      <c r="AR112" s="159"/>
      <c r="AS112" s="159"/>
      <c r="AT112" s="159"/>
      <c r="AU112" s="159"/>
      <c r="AV112" s="159"/>
      <c r="AW112" s="159"/>
      <c r="AX112" s="159"/>
      <c r="AY112" s="159"/>
      <c r="AZ112" s="159"/>
      <c r="BA112" s="159"/>
      <c r="BB112" s="159"/>
      <c r="BC112" s="159"/>
    </row>
    <row r="113" spans="1:55" ht="18" customHeight="1" x14ac:dyDescent="0.15">
      <c r="A113" s="157"/>
      <c r="B113" s="290"/>
      <c r="C113" s="337"/>
      <c r="D113" s="319"/>
      <c r="E113" s="320"/>
      <c r="F113" s="320"/>
      <c r="G113" s="321"/>
      <c r="H113" s="313"/>
      <c r="I113" s="317" t="s">
        <v>399</v>
      </c>
      <c r="J113" s="291"/>
      <c r="K113" s="291"/>
      <c r="L113" s="291"/>
      <c r="M113" s="291"/>
      <c r="N113" s="291"/>
      <c r="O113" s="291"/>
      <c r="P113" s="291"/>
      <c r="Q113" s="291"/>
      <c r="R113" s="291"/>
      <c r="S113" s="291"/>
      <c r="T113" s="291"/>
      <c r="U113" s="295"/>
      <c r="V113" s="175"/>
      <c r="W113" s="159"/>
      <c r="X113" s="215"/>
      <c r="Y113" s="265"/>
      <c r="Z113" s="159"/>
      <c r="AA113" s="159"/>
      <c r="AB113" s="159"/>
      <c r="AC113" s="159"/>
      <c r="AD113" s="159"/>
      <c r="AE113" s="159"/>
      <c r="AF113" s="159"/>
      <c r="AG113" s="159"/>
      <c r="AH113" s="159"/>
      <c r="AI113" s="159"/>
      <c r="AJ113" s="159"/>
      <c r="AK113" s="159"/>
      <c r="AL113" s="159"/>
      <c r="AM113" s="159"/>
      <c r="AN113" s="159"/>
      <c r="AO113" s="159"/>
      <c r="AP113" s="159"/>
      <c r="AQ113" s="159"/>
      <c r="AR113" s="159"/>
      <c r="AS113" s="159"/>
      <c r="AT113" s="159"/>
      <c r="AU113" s="159"/>
      <c r="AV113" s="159"/>
      <c r="AW113" s="159"/>
      <c r="AX113" s="159"/>
      <c r="AY113" s="159"/>
      <c r="AZ113" s="159"/>
      <c r="BA113" s="159"/>
      <c r="BB113" s="159"/>
      <c r="BC113" s="159"/>
    </row>
    <row r="114" spans="1:55" ht="18" customHeight="1" x14ac:dyDescent="0.15">
      <c r="A114" s="157"/>
      <c r="B114" s="290"/>
      <c r="C114" s="337" t="s">
        <v>379</v>
      </c>
      <c r="D114" s="319" t="str">
        <f ca="1">IF(COUNTBLANK($K$72:$K$74)=3,IFERROR(ROUNDDOWN(MIN(
OFFSET(家賃・近傍同種計算!$G$25,MATCH("●",家賃・近傍同種計算!$B$25:$B$32,0)-1,$X114+IF($D$70="木造仮設住宅を転用した町営の賃貸住宅",3,0)),
OFFSET(家賃・近傍同種計算!$G$97,0,$X114+IF($D$70="木造仮設住宅を転用した町営の賃貸住宅",3,0)))
+OFFSET(家賃・近傍同種計算!$G$98,0,$X114+IF($D$70="木造仮設住宅を転用した町営の賃貸住宅",3,0))*IF($AH$77="●",OFFSET($AK$65,MATCH("●",$AH$65:$AH$72,0)-1,$X114-4),0),-2),""),"")</f>
        <v/>
      </c>
      <c r="E114" s="320"/>
      <c r="F114" s="320"/>
      <c r="G114" s="321"/>
      <c r="H114" s="312" t="str">
        <f t="shared" ref="H114" ca="1" si="11">IFERROR(SUM($D114*12)/10000+$H112,"")</f>
        <v/>
      </c>
      <c r="I114" s="318"/>
      <c r="J114" s="291"/>
      <c r="K114" s="291"/>
      <c r="L114" s="291"/>
      <c r="M114" s="291"/>
      <c r="N114" s="291"/>
      <c r="O114" s="291"/>
      <c r="P114" s="291"/>
      <c r="Q114" s="291"/>
      <c r="R114" s="291"/>
      <c r="S114" s="291"/>
      <c r="T114" s="291"/>
      <c r="U114" s="295"/>
      <c r="V114" s="175"/>
      <c r="W114" s="159"/>
      <c r="X114" s="215">
        <v>13</v>
      </c>
      <c r="Y114" s="265"/>
      <c r="Z114" s="159"/>
      <c r="AA114" s="159"/>
      <c r="AB114" s="159"/>
      <c r="AC114" s="159"/>
      <c r="AD114" s="159"/>
      <c r="AE114" s="159"/>
      <c r="AF114" s="159"/>
      <c r="AG114" s="159"/>
      <c r="AH114" s="159"/>
      <c r="AI114" s="159"/>
      <c r="AJ114" s="159"/>
      <c r="AK114" s="159"/>
      <c r="AL114" s="159"/>
      <c r="AM114" s="159"/>
      <c r="AN114" s="159"/>
      <c r="AO114" s="159"/>
      <c r="AP114" s="159"/>
      <c r="AQ114" s="159"/>
      <c r="AR114" s="159"/>
      <c r="AS114" s="159"/>
      <c r="AT114" s="159"/>
      <c r="AU114" s="159"/>
      <c r="AV114" s="159"/>
      <c r="AW114" s="159"/>
      <c r="AX114" s="159"/>
      <c r="AY114" s="159"/>
      <c r="AZ114" s="159"/>
      <c r="BA114" s="159"/>
      <c r="BB114" s="159"/>
      <c r="BC114" s="159"/>
    </row>
    <row r="115" spans="1:55" ht="18" customHeight="1" x14ac:dyDescent="0.15">
      <c r="A115" s="157"/>
      <c r="B115" s="290"/>
      <c r="C115" s="337"/>
      <c r="D115" s="319"/>
      <c r="E115" s="320"/>
      <c r="F115" s="320"/>
      <c r="G115" s="321"/>
      <c r="H115" s="313"/>
      <c r="I115" s="317" t="s">
        <v>400</v>
      </c>
      <c r="J115" s="291"/>
      <c r="K115" s="291"/>
      <c r="L115" s="291"/>
      <c r="M115" s="291"/>
      <c r="N115" s="291"/>
      <c r="O115" s="291"/>
      <c r="P115" s="291"/>
      <c r="Q115" s="291"/>
      <c r="R115" s="291"/>
      <c r="S115" s="291"/>
      <c r="T115" s="291"/>
      <c r="U115" s="295"/>
      <c r="V115" s="175"/>
      <c r="W115" s="159"/>
      <c r="X115" s="215"/>
      <c r="Y115" s="265"/>
      <c r="Z115" s="159"/>
      <c r="AA115" s="159"/>
      <c r="AB115" s="159"/>
      <c r="AC115" s="159"/>
      <c r="AD115" s="159"/>
      <c r="AE115" s="159"/>
      <c r="AF115" s="159"/>
      <c r="AG115" s="159"/>
      <c r="AH115" s="159"/>
      <c r="AI115" s="159"/>
      <c r="AJ115" s="159"/>
      <c r="AK115" s="159"/>
      <c r="AL115" s="159"/>
      <c r="AM115" s="159"/>
      <c r="AN115" s="159"/>
      <c r="AO115" s="159"/>
      <c r="AP115" s="159"/>
      <c r="AQ115" s="159"/>
      <c r="AR115" s="159"/>
      <c r="AS115" s="159"/>
      <c r="AT115" s="159"/>
      <c r="AU115" s="159"/>
      <c r="AV115" s="159"/>
      <c r="AW115" s="159"/>
      <c r="AX115" s="159"/>
      <c r="AY115" s="159"/>
      <c r="AZ115" s="159"/>
      <c r="BA115" s="159"/>
      <c r="BB115" s="159"/>
      <c r="BC115" s="159"/>
    </row>
    <row r="116" spans="1:55" ht="18" customHeight="1" x14ac:dyDescent="0.15">
      <c r="A116" s="157"/>
      <c r="B116" s="290"/>
      <c r="C116" s="337" t="s">
        <v>380</v>
      </c>
      <c r="D116" s="319" t="str">
        <f ca="1">IF(COUNTBLANK($K$72:$K$74)=3,IFERROR(ROUNDDOWN(MIN(
OFFSET(家賃・近傍同種計算!$G$25,MATCH("●",家賃・近傍同種計算!$B$25:$B$32,0)-1,$X116+IF($D$70="木造仮設住宅を転用した町営の賃貸住宅",3,0)),
OFFSET(家賃・近傍同種計算!$G$97,0,$X116+IF($D$70="木造仮設住宅を転用した町営の賃貸住宅",3,0)))
+OFFSET(家賃・近傍同種計算!$G$98,0,$X116+IF($D$70="木造仮設住宅を転用した町営の賃貸住宅",3,0))*IF($AH$77="●",OFFSET($AK$65,MATCH("●",$AH$65:$AH$72,0)-1,$X116-4),0),-2),""),"")</f>
        <v/>
      </c>
      <c r="E116" s="320"/>
      <c r="F116" s="320"/>
      <c r="G116" s="321"/>
      <c r="H116" s="312" t="str">
        <f t="shared" ref="H116" ca="1" si="12">IFERROR(SUM($D116*12)/10000+$H114,"")</f>
        <v/>
      </c>
      <c r="I116" s="318"/>
      <c r="J116" s="291"/>
      <c r="K116" s="291"/>
      <c r="L116" s="291"/>
      <c r="M116" s="291"/>
      <c r="N116" s="291"/>
      <c r="O116" s="291"/>
      <c r="P116" s="291"/>
      <c r="Q116" s="291"/>
      <c r="R116" s="291"/>
      <c r="S116" s="291"/>
      <c r="T116" s="291"/>
      <c r="U116" s="295"/>
      <c r="V116" s="175"/>
      <c r="W116" s="159"/>
      <c r="X116" s="215">
        <v>14</v>
      </c>
      <c r="Y116" s="265"/>
      <c r="Z116" s="159"/>
      <c r="AA116" s="159"/>
      <c r="AB116" s="159"/>
      <c r="AC116" s="159"/>
      <c r="AD116" s="159"/>
      <c r="AE116" s="159"/>
      <c r="AF116" s="159"/>
      <c r="AG116" s="159"/>
      <c r="AH116" s="159"/>
      <c r="AI116" s="159"/>
      <c r="AJ116" s="159"/>
      <c r="AK116" s="159"/>
      <c r="AL116" s="159"/>
      <c r="AM116" s="159"/>
      <c r="AN116" s="159"/>
      <c r="AO116" s="159"/>
      <c r="AP116" s="159"/>
      <c r="AQ116" s="159"/>
      <c r="AR116" s="159"/>
      <c r="AS116" s="159"/>
      <c r="AT116" s="159"/>
      <c r="AU116" s="159"/>
      <c r="AV116" s="159"/>
      <c r="AW116" s="159"/>
      <c r="AX116" s="159"/>
      <c r="AY116" s="159"/>
      <c r="AZ116" s="159"/>
      <c r="BA116" s="159"/>
      <c r="BB116" s="159"/>
      <c r="BC116" s="159"/>
    </row>
    <row r="117" spans="1:55" ht="18" customHeight="1" x14ac:dyDescent="0.15">
      <c r="A117" s="157"/>
      <c r="B117" s="290"/>
      <c r="C117" s="337"/>
      <c r="D117" s="319"/>
      <c r="E117" s="320"/>
      <c r="F117" s="320"/>
      <c r="G117" s="321"/>
      <c r="H117" s="313"/>
      <c r="I117" s="317" t="s">
        <v>401</v>
      </c>
      <c r="J117" s="291"/>
      <c r="K117" s="291"/>
      <c r="L117" s="291"/>
      <c r="M117" s="291"/>
      <c r="N117" s="291"/>
      <c r="O117" s="291"/>
      <c r="P117" s="291"/>
      <c r="Q117" s="291"/>
      <c r="R117" s="291"/>
      <c r="S117" s="291"/>
      <c r="T117" s="291"/>
      <c r="U117" s="295"/>
      <c r="V117" s="175"/>
      <c r="W117" s="159"/>
      <c r="X117" s="215"/>
      <c r="Y117" s="265"/>
      <c r="Z117" s="159"/>
      <c r="AA117" s="159"/>
      <c r="AB117" s="159"/>
      <c r="AC117" s="159"/>
      <c r="AD117" s="159"/>
      <c r="AE117" s="159"/>
      <c r="AF117" s="159"/>
      <c r="AG117" s="159"/>
      <c r="AH117" s="159"/>
      <c r="AI117" s="159"/>
      <c r="AJ117" s="159"/>
      <c r="AK117" s="159"/>
      <c r="AL117" s="159"/>
      <c r="AM117" s="159"/>
      <c r="AN117" s="159"/>
      <c r="AO117" s="159"/>
      <c r="AP117" s="159"/>
      <c r="AQ117" s="159"/>
      <c r="AR117" s="159"/>
      <c r="AS117" s="159"/>
      <c r="AT117" s="159"/>
      <c r="AU117" s="159"/>
      <c r="AV117" s="159"/>
      <c r="AW117" s="159"/>
      <c r="AX117" s="159"/>
      <c r="AY117" s="159"/>
      <c r="AZ117" s="159"/>
      <c r="BA117" s="159"/>
      <c r="BB117" s="159"/>
      <c r="BC117" s="159"/>
    </row>
    <row r="118" spans="1:55" ht="18" customHeight="1" x14ac:dyDescent="0.15">
      <c r="A118" s="157"/>
      <c r="B118" s="290"/>
      <c r="C118" s="337" t="s">
        <v>381</v>
      </c>
      <c r="D118" s="319" t="str">
        <f ca="1">IF(COUNTBLANK($K$72:$K$74)=3,IFERROR(ROUNDDOWN(MIN(
OFFSET(家賃・近傍同種計算!$G$25,MATCH("●",家賃・近傍同種計算!$B$25:$B$32,0)-1,$X118+IF($D$70="木造仮設住宅を転用した町営の賃貸住宅",3,0)),
OFFSET(家賃・近傍同種計算!$G$97,0,$X118+IF($D$70="木造仮設住宅を転用した町営の賃貸住宅",3,0)))
+OFFSET(家賃・近傍同種計算!$G$98,0,$X118+IF($D$70="木造仮設住宅を転用した町営の賃貸住宅",3,0))*IF($AH$77="●",OFFSET($AK$65,MATCH("●",$AH$65:$AH$72,0)-1,$X118-4),0),-2),""),"")</f>
        <v/>
      </c>
      <c r="E118" s="320"/>
      <c r="F118" s="320"/>
      <c r="G118" s="321"/>
      <c r="H118" s="312" t="str">
        <f t="shared" ref="H118" ca="1" si="13">IFERROR(SUM($D118*12)/10000+$H116,"")</f>
        <v/>
      </c>
      <c r="I118" s="318"/>
      <c r="J118" s="291"/>
      <c r="K118" s="291"/>
      <c r="L118" s="291"/>
      <c r="M118" s="291"/>
      <c r="N118" s="291"/>
      <c r="O118" s="291"/>
      <c r="P118" s="291"/>
      <c r="Q118" s="291"/>
      <c r="R118" s="291"/>
      <c r="S118" s="291"/>
      <c r="T118" s="291"/>
      <c r="U118" s="295"/>
      <c r="V118" s="175"/>
      <c r="W118" s="159"/>
      <c r="X118" s="215">
        <v>15</v>
      </c>
      <c r="Y118" s="265"/>
      <c r="Z118" s="159"/>
      <c r="AA118" s="159"/>
      <c r="AB118" s="159"/>
      <c r="AC118" s="159"/>
      <c r="AD118" s="159"/>
      <c r="AE118" s="159"/>
      <c r="AF118" s="159"/>
      <c r="AG118" s="159"/>
      <c r="AH118" s="159"/>
      <c r="AI118" s="159"/>
      <c r="AJ118" s="159"/>
      <c r="AK118" s="159"/>
      <c r="AL118" s="159"/>
      <c r="AM118" s="159"/>
      <c r="AN118" s="159"/>
      <c r="AO118" s="159"/>
      <c r="AP118" s="159"/>
      <c r="AQ118" s="159"/>
      <c r="AR118" s="159"/>
      <c r="AS118" s="159"/>
      <c r="AT118" s="159"/>
      <c r="AU118" s="159"/>
      <c r="AV118" s="159"/>
      <c r="AW118" s="159"/>
      <c r="AX118" s="159"/>
      <c r="AY118" s="159"/>
      <c r="AZ118" s="159"/>
      <c r="BA118" s="159"/>
      <c r="BB118" s="159"/>
      <c r="BC118" s="159"/>
    </row>
    <row r="119" spans="1:55" ht="18" customHeight="1" x14ac:dyDescent="0.15">
      <c r="A119" s="157"/>
      <c r="B119" s="290"/>
      <c r="C119" s="337"/>
      <c r="D119" s="319"/>
      <c r="E119" s="320"/>
      <c r="F119" s="320"/>
      <c r="G119" s="321"/>
      <c r="H119" s="313"/>
      <c r="I119" s="317" t="s">
        <v>402</v>
      </c>
      <c r="J119" s="291"/>
      <c r="K119" s="291"/>
      <c r="L119" s="291"/>
      <c r="M119" s="291"/>
      <c r="N119" s="291"/>
      <c r="O119" s="291"/>
      <c r="P119" s="291"/>
      <c r="Q119" s="291"/>
      <c r="R119" s="291"/>
      <c r="S119" s="291"/>
      <c r="T119" s="291"/>
      <c r="U119" s="295"/>
      <c r="V119" s="175"/>
      <c r="W119" s="159"/>
      <c r="X119" s="215"/>
      <c r="Y119" s="265"/>
      <c r="Z119" s="159"/>
      <c r="AA119" s="159"/>
      <c r="AB119" s="159"/>
      <c r="AC119" s="159"/>
      <c r="AD119" s="159"/>
      <c r="AE119" s="159"/>
      <c r="AF119" s="159"/>
      <c r="AG119" s="159"/>
      <c r="AH119" s="159"/>
      <c r="AI119" s="159"/>
      <c r="AJ119" s="159"/>
      <c r="AK119" s="159"/>
      <c r="AL119" s="159"/>
      <c r="AM119" s="159"/>
      <c r="AN119" s="159"/>
      <c r="AO119" s="159"/>
      <c r="AP119" s="159"/>
      <c r="AQ119" s="159"/>
      <c r="AR119" s="159"/>
      <c r="AS119" s="159"/>
      <c r="AT119" s="159"/>
      <c r="AU119" s="159"/>
      <c r="AV119" s="159"/>
      <c r="AW119" s="159"/>
      <c r="AX119" s="159"/>
      <c r="AY119" s="159"/>
      <c r="AZ119" s="159"/>
      <c r="BA119" s="159"/>
      <c r="BB119" s="159"/>
      <c r="BC119" s="159"/>
    </row>
    <row r="120" spans="1:55" ht="18" customHeight="1" x14ac:dyDescent="0.15">
      <c r="A120" s="157"/>
      <c r="B120" s="290"/>
      <c r="C120" s="337" t="s">
        <v>382</v>
      </c>
      <c r="D120" s="319" t="str">
        <f ca="1">IF(COUNTBLANK($K$72:$K$74)=3,IFERROR(ROUNDDOWN(MIN(
OFFSET(家賃・近傍同種計算!$G$25,MATCH("●",家賃・近傍同種計算!$B$25:$B$32,0)-1,$X120+IF($D$70="木造仮設住宅を転用した町営の賃貸住宅",3,0)),
OFFSET(家賃・近傍同種計算!$G$97,0,$X120+IF($D$70="木造仮設住宅を転用した町営の賃貸住宅",3,0)))
+OFFSET(家賃・近傍同種計算!$G$98,0,$X120+IF($D$70="木造仮設住宅を転用した町営の賃貸住宅",3,0))*IF($AH$77="●",OFFSET($AK$65,MATCH("●",$AH$65:$AH$72,0)-1,$X120-4),0),-2),""),"")</f>
        <v/>
      </c>
      <c r="E120" s="320"/>
      <c r="F120" s="320"/>
      <c r="G120" s="321"/>
      <c r="H120" s="312" t="str">
        <f t="shared" ref="H120" ca="1" si="14">IFERROR(SUM($D120*12)/10000+$H118,"")</f>
        <v/>
      </c>
      <c r="I120" s="318"/>
      <c r="J120" s="291"/>
      <c r="K120" s="291"/>
      <c r="L120" s="291"/>
      <c r="M120" s="291"/>
      <c r="N120" s="291"/>
      <c r="O120" s="291"/>
      <c r="P120" s="291"/>
      <c r="Q120" s="291"/>
      <c r="R120" s="291"/>
      <c r="S120" s="291"/>
      <c r="T120" s="291"/>
      <c r="U120" s="295"/>
      <c r="V120" s="175"/>
      <c r="W120" s="159"/>
      <c r="X120" s="215">
        <v>16</v>
      </c>
      <c r="Y120" s="265"/>
      <c r="Z120" s="159"/>
      <c r="AA120" s="159"/>
      <c r="AB120" s="159"/>
      <c r="AC120" s="159"/>
      <c r="AD120" s="159"/>
      <c r="AE120" s="159"/>
      <c r="AF120" s="159"/>
      <c r="AG120" s="159"/>
      <c r="AH120" s="159"/>
      <c r="AI120" s="159"/>
      <c r="AJ120" s="159"/>
      <c r="AK120" s="159"/>
      <c r="AL120" s="159"/>
      <c r="AM120" s="159"/>
      <c r="AN120" s="159"/>
      <c r="AO120" s="159"/>
      <c r="AP120" s="159"/>
      <c r="AQ120" s="159"/>
      <c r="AR120" s="159"/>
      <c r="AS120" s="159"/>
      <c r="AT120" s="159"/>
      <c r="AU120" s="159"/>
      <c r="AV120" s="159"/>
      <c r="AW120" s="159"/>
      <c r="AX120" s="159"/>
      <c r="AY120" s="159"/>
      <c r="AZ120" s="159"/>
      <c r="BA120" s="159"/>
      <c r="BB120" s="159"/>
      <c r="BC120" s="159"/>
    </row>
    <row r="121" spans="1:55" ht="18" customHeight="1" x14ac:dyDescent="0.15">
      <c r="A121" s="157"/>
      <c r="B121" s="290"/>
      <c r="C121" s="337"/>
      <c r="D121" s="319"/>
      <c r="E121" s="320"/>
      <c r="F121" s="320"/>
      <c r="G121" s="321"/>
      <c r="H121" s="313"/>
      <c r="I121" s="317" t="s">
        <v>403</v>
      </c>
      <c r="J121" s="291"/>
      <c r="K121" s="291"/>
      <c r="L121" s="291"/>
      <c r="M121" s="291"/>
      <c r="N121" s="291"/>
      <c r="O121" s="291"/>
      <c r="P121" s="291"/>
      <c r="Q121" s="291"/>
      <c r="R121" s="291"/>
      <c r="S121" s="291"/>
      <c r="T121" s="291"/>
      <c r="U121" s="295"/>
      <c r="V121" s="175"/>
      <c r="W121" s="159"/>
      <c r="X121" s="215"/>
      <c r="Y121" s="265"/>
      <c r="Z121" s="159"/>
      <c r="AA121" s="159"/>
      <c r="AB121" s="159"/>
      <c r="AC121" s="159"/>
      <c r="AD121" s="159"/>
      <c r="AE121" s="159"/>
      <c r="AF121" s="159"/>
      <c r="AG121" s="159"/>
      <c r="AH121" s="159"/>
      <c r="AI121" s="159"/>
      <c r="AJ121" s="159"/>
      <c r="AK121" s="159"/>
      <c r="AL121" s="159"/>
      <c r="AM121" s="159"/>
      <c r="AN121" s="159"/>
      <c r="AO121" s="159"/>
      <c r="AP121" s="159"/>
      <c r="AQ121" s="159"/>
      <c r="AR121" s="159"/>
      <c r="AS121" s="159"/>
      <c r="AT121" s="159"/>
      <c r="AU121" s="159"/>
      <c r="AV121" s="159"/>
      <c r="AW121" s="159"/>
      <c r="AX121" s="159"/>
      <c r="AY121" s="159"/>
      <c r="AZ121" s="159"/>
      <c r="BA121" s="159"/>
      <c r="BB121" s="159"/>
      <c r="BC121" s="159"/>
    </row>
    <row r="122" spans="1:55" ht="18" customHeight="1" x14ac:dyDescent="0.15">
      <c r="A122" s="157"/>
      <c r="B122" s="290"/>
      <c r="C122" s="337" t="s">
        <v>383</v>
      </c>
      <c r="D122" s="319" t="str">
        <f ca="1">IF(COUNTBLANK($K$72:$K$74)=3,IFERROR(ROUNDDOWN(MIN(
OFFSET(家賃・近傍同種計算!$G$25,MATCH("●",家賃・近傍同種計算!$B$25:$B$32,0)-1,$X122+IF($D$70="木造仮設住宅を転用した町営の賃貸住宅",3,0)),
OFFSET(家賃・近傍同種計算!$G$97,0,$X122+IF($D$70="木造仮設住宅を転用した町営の賃貸住宅",3,0)))
+OFFSET(家賃・近傍同種計算!$G$98,0,$X122+IF($D$70="木造仮設住宅を転用した町営の賃貸住宅",3,0))*IF($AH$77="●",OFFSET($AK$65,MATCH("●",$AH$65:$AH$72,0)-1,$X122-4),0),-2),""),"")</f>
        <v/>
      </c>
      <c r="E122" s="320"/>
      <c r="F122" s="320"/>
      <c r="G122" s="321"/>
      <c r="H122" s="312" t="str">
        <f t="shared" ref="H122" ca="1" si="15">IFERROR(SUM($D122*12)/10000+$H120,"")</f>
        <v/>
      </c>
      <c r="I122" s="318"/>
      <c r="J122" s="291"/>
      <c r="K122" s="291"/>
      <c r="L122" s="291"/>
      <c r="M122" s="291"/>
      <c r="N122" s="291"/>
      <c r="O122" s="291"/>
      <c r="P122" s="291"/>
      <c r="Q122" s="291"/>
      <c r="R122" s="291"/>
      <c r="S122" s="291"/>
      <c r="T122" s="291"/>
      <c r="U122" s="295"/>
      <c r="V122" s="175"/>
      <c r="W122" s="159"/>
      <c r="X122" s="215">
        <v>17</v>
      </c>
      <c r="Y122" s="265"/>
      <c r="Z122" s="159"/>
      <c r="AA122" s="159"/>
      <c r="AB122" s="159"/>
      <c r="AC122" s="159"/>
      <c r="AD122" s="159"/>
      <c r="AE122" s="159"/>
      <c r="AF122" s="159"/>
      <c r="AG122" s="159"/>
      <c r="AH122" s="159"/>
      <c r="AI122" s="159"/>
      <c r="AJ122" s="159"/>
      <c r="AK122" s="159"/>
      <c r="AL122" s="159"/>
      <c r="AM122" s="159"/>
      <c r="AN122" s="159"/>
      <c r="AO122" s="159"/>
      <c r="AP122" s="159"/>
      <c r="AQ122" s="159"/>
      <c r="AR122" s="159"/>
      <c r="AS122" s="159"/>
      <c r="AT122" s="159"/>
      <c r="AU122" s="159"/>
      <c r="AV122" s="159"/>
      <c r="AW122" s="159"/>
      <c r="AX122" s="159"/>
      <c r="AY122" s="159"/>
      <c r="AZ122" s="159"/>
      <c r="BA122" s="159"/>
      <c r="BB122" s="159"/>
      <c r="BC122" s="159"/>
    </row>
    <row r="123" spans="1:55" ht="18" customHeight="1" x14ac:dyDescent="0.15">
      <c r="A123" s="157"/>
      <c r="B123" s="290"/>
      <c r="C123" s="337"/>
      <c r="D123" s="319"/>
      <c r="E123" s="320"/>
      <c r="F123" s="320"/>
      <c r="G123" s="321"/>
      <c r="H123" s="313"/>
      <c r="I123" s="317" t="s">
        <v>404</v>
      </c>
      <c r="J123" s="291"/>
      <c r="K123" s="291"/>
      <c r="L123" s="291"/>
      <c r="M123" s="291"/>
      <c r="N123" s="291"/>
      <c r="O123" s="291"/>
      <c r="P123" s="291"/>
      <c r="Q123" s="291"/>
      <c r="R123" s="291"/>
      <c r="S123" s="291"/>
      <c r="T123" s="291"/>
      <c r="U123" s="295"/>
      <c r="V123" s="175"/>
      <c r="W123" s="159"/>
      <c r="X123" s="215"/>
      <c r="Y123" s="265"/>
      <c r="Z123" s="159"/>
      <c r="AA123" s="159"/>
      <c r="AB123" s="159"/>
      <c r="AC123" s="159"/>
      <c r="AD123" s="159"/>
      <c r="AE123" s="159"/>
      <c r="AF123" s="159"/>
      <c r="AG123" s="159"/>
      <c r="AH123" s="159"/>
      <c r="AI123" s="159"/>
      <c r="AJ123" s="159"/>
      <c r="AK123" s="159"/>
      <c r="AL123" s="159"/>
      <c r="AM123" s="159"/>
      <c r="AN123" s="159"/>
      <c r="AO123" s="159"/>
      <c r="AP123" s="159"/>
      <c r="AQ123" s="159"/>
      <c r="AR123" s="159"/>
      <c r="AS123" s="159"/>
      <c r="AT123" s="159"/>
      <c r="AU123" s="159"/>
      <c r="AV123" s="159"/>
      <c r="AW123" s="159"/>
      <c r="AX123" s="159"/>
      <c r="AY123" s="159"/>
      <c r="AZ123" s="159"/>
      <c r="BA123" s="159"/>
      <c r="BB123" s="159"/>
      <c r="BC123" s="159"/>
    </row>
    <row r="124" spans="1:55" ht="18" customHeight="1" x14ac:dyDescent="0.15">
      <c r="A124" s="157"/>
      <c r="B124" s="290"/>
      <c r="C124" s="337" t="s">
        <v>384</v>
      </c>
      <c r="D124" s="319" t="str">
        <f ca="1">IF(COUNTBLANK($K$72:$K$74)=3,IFERROR(ROUNDDOWN(MIN(
OFFSET(家賃・近傍同種計算!$G$25,MATCH("●",家賃・近傍同種計算!$B$25:$B$32,0)-1,$X124+IF($D$70="木造仮設住宅を転用した町営の賃貸住宅",3,0)),
OFFSET(家賃・近傍同種計算!$G$97,0,$X124+IF($D$70="木造仮設住宅を転用した町営の賃貸住宅",3,0)))
+OFFSET(家賃・近傍同種計算!$G$98,0,$X124+IF($D$70="木造仮設住宅を転用した町営の賃貸住宅",3,0))*IF($AH$77="●",OFFSET($AK$65,MATCH("●",$AH$65:$AH$72,0)-1,$X124-4),0),-2),""),"")</f>
        <v/>
      </c>
      <c r="E124" s="320"/>
      <c r="F124" s="320"/>
      <c r="G124" s="321"/>
      <c r="H124" s="312" t="str">
        <f t="shared" ref="H124" ca="1" si="16">IFERROR(SUM($D124*12)/10000+$H122,"")</f>
        <v/>
      </c>
      <c r="I124" s="318"/>
      <c r="J124" s="291"/>
      <c r="K124" s="291"/>
      <c r="L124" s="291"/>
      <c r="M124" s="291"/>
      <c r="N124" s="291"/>
      <c r="O124" s="291"/>
      <c r="P124" s="291"/>
      <c r="Q124" s="291"/>
      <c r="R124" s="291"/>
      <c r="S124" s="291"/>
      <c r="T124" s="291"/>
      <c r="U124" s="295"/>
      <c r="V124" s="175"/>
      <c r="W124" s="159"/>
      <c r="X124" s="215">
        <v>18</v>
      </c>
      <c r="Y124" s="265"/>
      <c r="Z124" s="159"/>
      <c r="AA124" s="159"/>
      <c r="AB124" s="159"/>
      <c r="AC124" s="159"/>
      <c r="AD124" s="159"/>
      <c r="AE124" s="159"/>
      <c r="AF124" s="159"/>
      <c r="AG124" s="159"/>
      <c r="AH124" s="159"/>
      <c r="AI124" s="159"/>
      <c r="AJ124" s="159"/>
      <c r="AK124" s="159"/>
      <c r="AL124" s="159"/>
      <c r="AM124" s="159"/>
      <c r="AN124" s="159"/>
      <c r="AO124" s="159"/>
      <c r="AP124" s="159"/>
      <c r="AQ124" s="159"/>
      <c r="AR124" s="159"/>
      <c r="AS124" s="159"/>
      <c r="AT124" s="159"/>
      <c r="AU124" s="159"/>
      <c r="AV124" s="159"/>
      <c r="AW124" s="159"/>
      <c r="AX124" s="159"/>
      <c r="AY124" s="159"/>
      <c r="AZ124" s="159"/>
      <c r="BA124" s="159"/>
      <c r="BB124" s="159"/>
      <c r="BC124" s="159"/>
    </row>
    <row r="125" spans="1:55" ht="18" customHeight="1" x14ac:dyDescent="0.15">
      <c r="A125" s="157"/>
      <c r="B125" s="290"/>
      <c r="C125" s="337"/>
      <c r="D125" s="319"/>
      <c r="E125" s="320"/>
      <c r="F125" s="320"/>
      <c r="G125" s="321"/>
      <c r="H125" s="313"/>
      <c r="I125" s="317" t="s">
        <v>405</v>
      </c>
      <c r="J125" s="291"/>
      <c r="K125" s="291"/>
      <c r="L125" s="291"/>
      <c r="M125" s="291"/>
      <c r="N125" s="291"/>
      <c r="O125" s="291"/>
      <c r="P125" s="291"/>
      <c r="Q125" s="291"/>
      <c r="R125" s="291"/>
      <c r="S125" s="291"/>
      <c r="T125" s="291"/>
      <c r="U125" s="295"/>
      <c r="V125" s="175"/>
      <c r="W125" s="159"/>
      <c r="X125" s="215"/>
      <c r="Y125" s="265"/>
      <c r="Z125" s="159"/>
      <c r="AA125" s="159"/>
      <c r="AB125" s="159"/>
      <c r="AC125" s="159"/>
      <c r="AD125" s="159"/>
      <c r="AE125" s="159"/>
      <c r="AF125" s="159"/>
      <c r="AG125" s="159"/>
      <c r="AH125" s="159"/>
      <c r="AI125" s="159"/>
      <c r="AJ125" s="159"/>
      <c r="AK125" s="159"/>
      <c r="AL125" s="159"/>
      <c r="AM125" s="159"/>
      <c r="AN125" s="159"/>
      <c r="AO125" s="159"/>
      <c r="AP125" s="159"/>
      <c r="AQ125" s="159"/>
      <c r="AR125" s="159"/>
      <c r="AS125" s="159"/>
      <c r="AT125" s="159"/>
      <c r="AU125" s="159"/>
      <c r="AV125" s="159"/>
      <c r="AW125" s="159"/>
      <c r="AX125" s="159"/>
      <c r="AY125" s="159"/>
      <c r="AZ125" s="159"/>
      <c r="BA125" s="159"/>
      <c r="BB125" s="159"/>
      <c r="BC125" s="159"/>
    </row>
    <row r="126" spans="1:55" ht="18" customHeight="1" x14ac:dyDescent="0.15">
      <c r="A126" s="157"/>
      <c r="B126" s="290"/>
      <c r="C126" s="337" t="s">
        <v>385</v>
      </c>
      <c r="D126" s="319" t="str">
        <f ca="1">IF(COUNTBLANK($K$72:$K$74)=3,IFERROR(ROUNDDOWN(MIN(
OFFSET(家賃・近傍同種計算!$G$25,MATCH("●",家賃・近傍同種計算!$B$25:$B$32,0)-1,$X126+IF($D$70="木造仮設住宅を転用した町営の賃貸住宅",3,0)),
OFFSET(家賃・近傍同種計算!$G$97,0,$X126+IF($D$70="木造仮設住宅を転用した町営の賃貸住宅",3,0)))
+OFFSET(家賃・近傍同種計算!$G$98,0,$X126+IF($D$70="木造仮設住宅を転用した町営の賃貸住宅",3,0))*IF($AH$77="●",OFFSET($AK$65,MATCH("●",$AH$65:$AH$72,0)-1,$X126-4),0),-2),""),"")</f>
        <v/>
      </c>
      <c r="E126" s="320"/>
      <c r="F126" s="320"/>
      <c r="G126" s="321"/>
      <c r="H126" s="312" t="str">
        <f t="shared" ref="H126" ca="1" si="17">IFERROR(SUM($D126*12)/10000+$H124,"")</f>
        <v/>
      </c>
      <c r="I126" s="318"/>
      <c r="J126" s="291"/>
      <c r="K126" s="291"/>
      <c r="L126" s="291"/>
      <c r="M126" s="291"/>
      <c r="N126" s="291"/>
      <c r="O126" s="291"/>
      <c r="P126" s="291"/>
      <c r="Q126" s="291"/>
      <c r="R126" s="291"/>
      <c r="S126" s="291"/>
      <c r="T126" s="291"/>
      <c r="U126" s="295"/>
      <c r="V126" s="175"/>
      <c r="W126" s="159"/>
      <c r="X126" s="215">
        <v>19</v>
      </c>
      <c r="Y126" s="265"/>
      <c r="Z126" s="159"/>
      <c r="AA126" s="159"/>
      <c r="AB126" s="159"/>
      <c r="AC126" s="159"/>
      <c r="AD126" s="159"/>
      <c r="AE126" s="159"/>
      <c r="AF126" s="159"/>
      <c r="AG126" s="159"/>
      <c r="AH126" s="159"/>
      <c r="AI126" s="159"/>
      <c r="AJ126" s="159"/>
      <c r="AK126" s="159"/>
      <c r="AL126" s="159"/>
      <c r="AM126" s="159"/>
      <c r="AN126" s="159"/>
      <c r="AO126" s="159"/>
      <c r="AP126" s="159"/>
      <c r="AQ126" s="159"/>
      <c r="AR126" s="159"/>
      <c r="AS126" s="159"/>
      <c r="AT126" s="159"/>
      <c r="AU126" s="159"/>
      <c r="AV126" s="159"/>
      <c r="AW126" s="159"/>
      <c r="AX126" s="159"/>
      <c r="AY126" s="159"/>
      <c r="AZ126" s="159"/>
      <c r="BA126" s="159"/>
      <c r="BB126" s="159"/>
      <c r="BC126" s="159"/>
    </row>
    <row r="127" spans="1:55" ht="18" customHeight="1" x14ac:dyDescent="0.15">
      <c r="A127" s="157"/>
      <c r="B127" s="290"/>
      <c r="C127" s="337"/>
      <c r="D127" s="319"/>
      <c r="E127" s="320"/>
      <c r="F127" s="320"/>
      <c r="G127" s="321"/>
      <c r="H127" s="313"/>
      <c r="I127" s="301" t="s">
        <v>406</v>
      </c>
      <c r="J127" s="292"/>
      <c r="K127" s="292"/>
      <c r="L127" s="292"/>
      <c r="M127" s="292"/>
      <c r="N127" s="292"/>
      <c r="O127" s="292"/>
      <c r="P127" s="292"/>
      <c r="Q127" s="292"/>
      <c r="R127" s="292"/>
      <c r="S127" s="292"/>
      <c r="T127" s="292"/>
      <c r="U127" s="293"/>
      <c r="V127" s="157"/>
      <c r="W127" s="159"/>
      <c r="X127" s="159"/>
      <c r="Y127" s="159"/>
      <c r="Z127" s="159"/>
      <c r="AA127" s="159"/>
      <c r="AB127" s="159"/>
      <c r="AC127" s="159"/>
      <c r="AD127" s="159"/>
      <c r="AE127" s="159"/>
      <c r="AF127" s="159"/>
      <c r="AG127" s="159"/>
      <c r="AH127" s="159"/>
      <c r="AI127" s="159"/>
      <c r="AJ127" s="159"/>
      <c r="AK127" s="159"/>
      <c r="AL127" s="159"/>
      <c r="AM127" s="159"/>
      <c r="AN127" s="159"/>
      <c r="AO127" s="159"/>
      <c r="AP127" s="159"/>
      <c r="AQ127" s="159"/>
      <c r="AR127" s="159"/>
      <c r="AS127" s="159"/>
      <c r="AT127" s="159"/>
      <c r="AU127" s="159"/>
      <c r="AV127" s="159"/>
      <c r="AW127" s="159"/>
      <c r="AX127" s="159"/>
      <c r="AY127" s="159"/>
      <c r="AZ127" s="159"/>
      <c r="BA127" s="159"/>
      <c r="BB127" s="159"/>
      <c r="BC127" s="159"/>
    </row>
    <row r="128" spans="1:55" ht="15" customHeight="1" x14ac:dyDescent="0.15">
      <c r="A128" s="157"/>
      <c r="B128" s="290"/>
      <c r="C128" s="292"/>
      <c r="D128" s="292"/>
      <c r="E128" s="292"/>
      <c r="F128" s="292"/>
      <c r="G128" s="292"/>
      <c r="H128" s="292"/>
      <c r="I128" s="292"/>
      <c r="J128" s="292"/>
      <c r="K128" s="292"/>
      <c r="L128" s="292"/>
      <c r="M128" s="292"/>
      <c r="N128" s="292"/>
      <c r="O128" s="292"/>
      <c r="P128" s="292"/>
      <c r="Q128" s="292"/>
      <c r="R128" s="292"/>
      <c r="S128" s="292"/>
      <c r="T128" s="292"/>
      <c r="U128" s="293"/>
      <c r="V128" s="157"/>
      <c r="W128" s="159"/>
      <c r="X128" s="159"/>
      <c r="Y128" s="159"/>
      <c r="Z128" s="159"/>
      <c r="AA128" s="159"/>
      <c r="AB128" s="159"/>
      <c r="AC128" s="159"/>
      <c r="AD128" s="159"/>
      <c r="AE128" s="159"/>
      <c r="AF128" s="159"/>
      <c r="AG128" s="159"/>
      <c r="AH128" s="159"/>
      <c r="AI128" s="159"/>
      <c r="AJ128" s="159"/>
      <c r="AK128" s="159"/>
      <c r="AL128" s="159"/>
      <c r="AM128" s="159"/>
      <c r="AN128" s="159"/>
      <c r="AO128" s="159"/>
      <c r="AP128" s="159"/>
      <c r="AQ128" s="159"/>
      <c r="AR128" s="159"/>
      <c r="AS128" s="159"/>
      <c r="AT128" s="159"/>
      <c r="AU128" s="159"/>
      <c r="AV128" s="159"/>
      <c r="AW128" s="159"/>
      <c r="AX128" s="159"/>
      <c r="AY128" s="159"/>
      <c r="AZ128" s="159"/>
      <c r="BA128" s="159"/>
      <c r="BB128" s="159"/>
      <c r="BC128" s="159"/>
    </row>
    <row r="129" spans="1:55" ht="20.100000000000001" customHeight="1" x14ac:dyDescent="0.15">
      <c r="A129" s="157"/>
      <c r="B129" s="290"/>
      <c r="C129" s="302" t="s">
        <v>157</v>
      </c>
      <c r="D129" s="292"/>
      <c r="E129" s="292"/>
      <c r="F129" s="292"/>
      <c r="G129" s="292"/>
      <c r="H129" s="292"/>
      <c r="I129" s="292"/>
      <c r="J129" s="292"/>
      <c r="K129" s="292"/>
      <c r="L129" s="292"/>
      <c r="M129" s="292"/>
      <c r="N129" s="292"/>
      <c r="O129" s="292"/>
      <c r="P129" s="292"/>
      <c r="Q129" s="292"/>
      <c r="R129" s="292"/>
      <c r="S129" s="292"/>
      <c r="T129" s="292"/>
      <c r="U129" s="293"/>
      <c r="V129" s="157"/>
      <c r="W129" s="159"/>
      <c r="X129" s="159"/>
      <c r="Y129" s="159"/>
      <c r="Z129" s="159"/>
      <c r="AA129" s="159"/>
      <c r="AB129" s="159"/>
      <c r="AC129" s="159"/>
      <c r="AD129" s="159"/>
      <c r="AE129" s="159"/>
      <c r="AF129" s="159"/>
      <c r="AG129" s="159"/>
      <c r="AH129" s="159"/>
      <c r="AI129" s="159"/>
      <c r="AJ129" s="159"/>
      <c r="AK129" s="159"/>
      <c r="AL129" s="159"/>
      <c r="AM129" s="159"/>
      <c r="AN129" s="159"/>
      <c r="AO129" s="159"/>
      <c r="AP129" s="159"/>
      <c r="AQ129" s="159"/>
      <c r="AR129" s="159"/>
      <c r="AS129" s="159"/>
      <c r="AT129" s="159"/>
      <c r="AU129" s="159"/>
      <c r="AV129" s="159"/>
      <c r="AW129" s="159"/>
      <c r="AX129" s="159"/>
      <c r="AY129" s="159"/>
      <c r="AZ129" s="159"/>
      <c r="BA129" s="159"/>
      <c r="BB129" s="159"/>
      <c r="BC129" s="159"/>
    </row>
    <row r="130" spans="1:55" ht="20.100000000000001" customHeight="1" x14ac:dyDescent="0.15">
      <c r="A130" s="157"/>
      <c r="B130" s="290"/>
      <c r="C130" s="302" t="s">
        <v>161</v>
      </c>
      <c r="D130" s="292"/>
      <c r="E130" s="292"/>
      <c r="F130" s="292"/>
      <c r="G130" s="292"/>
      <c r="H130" s="292"/>
      <c r="I130" s="292"/>
      <c r="J130" s="292"/>
      <c r="K130" s="292"/>
      <c r="L130" s="292"/>
      <c r="M130" s="292"/>
      <c r="N130" s="292"/>
      <c r="O130" s="292"/>
      <c r="P130" s="292"/>
      <c r="Q130" s="292"/>
      <c r="R130" s="292"/>
      <c r="S130" s="292"/>
      <c r="T130" s="292"/>
      <c r="U130" s="293"/>
      <c r="V130" s="157"/>
      <c r="W130" s="159"/>
      <c r="X130" s="159"/>
      <c r="Y130" s="159"/>
      <c r="Z130" s="159"/>
      <c r="AA130" s="159"/>
      <c r="AB130" s="159"/>
      <c r="AC130" s="159"/>
      <c r="AD130" s="159"/>
      <c r="AE130" s="159"/>
      <c r="AF130" s="159"/>
      <c r="AG130" s="159"/>
      <c r="AH130" s="159"/>
      <c r="AI130" s="159"/>
      <c r="AJ130" s="159"/>
      <c r="AK130" s="159"/>
      <c r="AL130" s="159"/>
      <c r="AM130" s="159"/>
      <c r="AN130" s="159"/>
      <c r="AO130" s="159"/>
      <c r="AP130" s="159"/>
      <c r="AQ130" s="159"/>
      <c r="AR130" s="159"/>
      <c r="AS130" s="159"/>
      <c r="AT130" s="159"/>
      <c r="AU130" s="159"/>
      <c r="AV130" s="159"/>
      <c r="AW130" s="159"/>
      <c r="AX130" s="159"/>
      <c r="AY130" s="159"/>
      <c r="AZ130" s="159"/>
      <c r="BA130" s="159"/>
      <c r="BB130" s="159"/>
      <c r="BC130" s="159"/>
    </row>
    <row r="131" spans="1:55" ht="20.100000000000001" customHeight="1" x14ac:dyDescent="0.15">
      <c r="A131" s="157"/>
      <c r="B131" s="290"/>
      <c r="C131" s="302" t="s">
        <v>219</v>
      </c>
      <c r="D131" s="292"/>
      <c r="E131" s="292"/>
      <c r="F131" s="292"/>
      <c r="G131" s="292"/>
      <c r="H131" s="292"/>
      <c r="I131" s="292"/>
      <c r="J131" s="292"/>
      <c r="K131" s="292"/>
      <c r="L131" s="292"/>
      <c r="M131" s="292"/>
      <c r="N131" s="292"/>
      <c r="O131" s="292"/>
      <c r="P131" s="292"/>
      <c r="Q131" s="292"/>
      <c r="R131" s="292"/>
      <c r="S131" s="292"/>
      <c r="T131" s="292"/>
      <c r="U131" s="293"/>
      <c r="V131" s="157"/>
      <c r="W131" s="159"/>
      <c r="X131" s="159"/>
      <c r="Y131" s="159"/>
      <c r="Z131" s="159"/>
      <c r="AA131" s="159"/>
      <c r="AB131" s="159"/>
      <c r="AC131" s="159"/>
      <c r="AD131" s="159"/>
      <c r="AE131" s="159"/>
      <c r="AF131" s="159"/>
      <c r="AG131" s="159"/>
      <c r="AH131" s="159"/>
      <c r="AI131" s="159"/>
      <c r="AJ131" s="159"/>
      <c r="AK131" s="159"/>
      <c r="AL131" s="159"/>
      <c r="AM131" s="159"/>
      <c r="AN131" s="159"/>
      <c r="AO131" s="159"/>
      <c r="AP131" s="159"/>
      <c r="AQ131" s="159"/>
      <c r="AR131" s="159"/>
      <c r="AS131" s="159"/>
      <c r="AT131" s="159"/>
      <c r="AU131" s="159"/>
      <c r="AV131" s="159"/>
      <c r="AW131" s="159"/>
      <c r="AX131" s="159"/>
      <c r="AY131" s="159"/>
      <c r="AZ131" s="159"/>
      <c r="BA131" s="159"/>
      <c r="BB131" s="159"/>
      <c r="BC131" s="159"/>
    </row>
    <row r="132" spans="1:55" ht="20.100000000000001" customHeight="1" x14ac:dyDescent="0.15">
      <c r="A132" s="157"/>
      <c r="B132" s="303"/>
      <c r="C132" s="304" t="s">
        <v>221</v>
      </c>
      <c r="D132" s="305"/>
      <c r="E132" s="305"/>
      <c r="F132" s="305"/>
      <c r="G132" s="305"/>
      <c r="H132" s="305"/>
      <c r="I132" s="305"/>
      <c r="J132" s="305"/>
      <c r="K132" s="305"/>
      <c r="L132" s="305"/>
      <c r="M132" s="305"/>
      <c r="N132" s="305"/>
      <c r="O132" s="305"/>
      <c r="P132" s="305"/>
      <c r="Q132" s="305"/>
      <c r="R132" s="305"/>
      <c r="S132" s="305"/>
      <c r="T132" s="305"/>
      <c r="U132" s="306"/>
      <c r="V132" s="157"/>
      <c r="W132" s="159"/>
      <c r="X132" s="159"/>
      <c r="Y132" s="159"/>
      <c r="Z132" s="159"/>
      <c r="AA132" s="159"/>
      <c r="AB132" s="159"/>
      <c r="AC132" s="159"/>
      <c r="AD132" s="159"/>
      <c r="AE132" s="159"/>
      <c r="AF132" s="159"/>
      <c r="AG132" s="159"/>
      <c r="AH132" s="159"/>
      <c r="AI132" s="159"/>
      <c r="AJ132" s="159"/>
      <c r="AK132" s="159"/>
      <c r="AL132" s="159"/>
      <c r="AM132" s="159"/>
      <c r="AN132" s="159"/>
      <c r="AO132" s="159"/>
      <c r="AP132" s="159"/>
      <c r="AQ132" s="159"/>
      <c r="AR132" s="159"/>
      <c r="AS132" s="159"/>
      <c r="AT132" s="159"/>
      <c r="AU132" s="159"/>
      <c r="AV132" s="159"/>
      <c r="AW132" s="159"/>
      <c r="AX132" s="159"/>
      <c r="AY132" s="159"/>
      <c r="AZ132" s="159"/>
      <c r="BA132" s="159"/>
      <c r="BB132" s="159"/>
      <c r="BC132" s="159"/>
    </row>
    <row r="133" spans="1:55" ht="20.100000000000001" customHeight="1" x14ac:dyDescent="0.15">
      <c r="A133" s="157"/>
      <c r="B133" s="157"/>
      <c r="C133" s="157"/>
      <c r="D133" s="157"/>
      <c r="E133" s="157"/>
      <c r="F133" s="157"/>
      <c r="G133" s="157"/>
      <c r="H133" s="157"/>
      <c r="I133" s="157"/>
      <c r="J133" s="157"/>
      <c r="K133" s="157"/>
      <c r="L133" s="157"/>
      <c r="M133" s="157"/>
      <c r="N133" s="157"/>
      <c r="O133" s="157"/>
      <c r="P133" s="157"/>
      <c r="Q133" s="157"/>
      <c r="R133" s="157"/>
      <c r="S133" s="157"/>
      <c r="T133" s="157"/>
      <c r="U133" s="157"/>
      <c r="V133" s="157"/>
      <c r="W133" s="159"/>
      <c r="X133" s="159"/>
      <c r="Y133" s="159"/>
      <c r="Z133" s="159"/>
      <c r="AA133" s="159"/>
      <c r="AB133" s="159"/>
      <c r="AC133" s="159"/>
      <c r="AD133" s="159"/>
      <c r="AE133" s="159"/>
      <c r="AF133" s="159"/>
      <c r="AG133" s="159"/>
      <c r="AH133" s="159"/>
      <c r="AI133" s="159"/>
      <c r="AJ133" s="159"/>
      <c r="AK133" s="159"/>
      <c r="AL133" s="159"/>
      <c r="AM133" s="159"/>
      <c r="AN133" s="159"/>
      <c r="AO133" s="159"/>
      <c r="AP133" s="159"/>
      <c r="AQ133" s="159"/>
      <c r="AR133" s="159"/>
      <c r="AS133" s="159"/>
      <c r="AT133" s="159"/>
      <c r="AU133" s="159"/>
      <c r="AV133" s="159"/>
      <c r="AW133" s="159"/>
      <c r="AX133" s="159"/>
      <c r="AY133" s="159"/>
      <c r="AZ133" s="159"/>
      <c r="BA133" s="159"/>
      <c r="BB133" s="159"/>
      <c r="BC133" s="159"/>
    </row>
  </sheetData>
  <sheetProtection algorithmName="SHA-512" hashValue="eGAN5pYPBTPVAOA8kRBBYOCZ1dUQDEnW7RcEfE9UVv1SR+BRcwR3zvPJtJm7IWsgFfiHJK8lS3/g4MwSEgmgJQ==" saltValue="MuPXGB06OKfGdl0d3ZgBSQ==" spinCount="100000" sheet="1" objects="1" scenarios="1"/>
  <protectedRanges>
    <protectedRange sqref="E22 H22:I22 K22:M22 O22 Q22 S22 E24 H24:I24 K24:M24 O24 Q24 S24 E26 H26:I26 K26:M26 O26 Q26 S26 E28 H28:I28 K28:M28 O28 Q28 S28 E30 H30:I30 K30:M30 O30 Q30 S30" name="入力範囲4から6人目"/>
    <protectedRange sqref="E16 H16:I16 K16:M16 O16 Q16 S16 E18 H18:I18 K18:M18 O18 Q18 S18 E20 H20:I20 K20:M20 O20 Q20 S20" name="入力範囲1から3人目"/>
    <protectedRange sqref="M44:M45 M52 M54 M56 M58 M60 M62 D72:G72 D70:G70 D74:G74" name="入力範囲後半"/>
  </protectedRanges>
  <mergeCells count="116">
    <mergeCell ref="AD33:AE47"/>
    <mergeCell ref="I79:J79"/>
    <mergeCell ref="I80:J80"/>
    <mergeCell ref="C85:C87"/>
    <mergeCell ref="R87:S87"/>
    <mergeCell ref="R86:S86"/>
    <mergeCell ref="R85:S85"/>
    <mergeCell ref="D70:I70"/>
    <mergeCell ref="D72:I72"/>
    <mergeCell ref="D74:I74"/>
    <mergeCell ref="D78:F78"/>
    <mergeCell ref="G78:H78"/>
    <mergeCell ref="I77:J77"/>
    <mergeCell ref="I78:J78"/>
    <mergeCell ref="N79:O79"/>
    <mergeCell ref="N80:O80"/>
    <mergeCell ref="P79:Q79"/>
    <mergeCell ref="P80:Q80"/>
    <mergeCell ref="N77:O77"/>
    <mergeCell ref="N78:O78"/>
    <mergeCell ref="P77:Q77"/>
    <mergeCell ref="P78:Q78"/>
    <mergeCell ref="H85:H87"/>
    <mergeCell ref="I85:I87"/>
    <mergeCell ref="X13:X14"/>
    <mergeCell ref="C45:L45"/>
    <mergeCell ref="C44:L44"/>
    <mergeCell ref="D80:F80"/>
    <mergeCell ref="D79:F79"/>
    <mergeCell ref="D77:F77"/>
    <mergeCell ref="G80:H80"/>
    <mergeCell ref="C13:C14"/>
    <mergeCell ref="E13:F14"/>
    <mergeCell ref="G79:H79"/>
    <mergeCell ref="G77:H77"/>
    <mergeCell ref="C98:C99"/>
    <mergeCell ref="C100:C101"/>
    <mergeCell ref="C102:C103"/>
    <mergeCell ref="C104:C105"/>
    <mergeCell ref="D108:G109"/>
    <mergeCell ref="D110:G111"/>
    <mergeCell ref="D112:G113"/>
    <mergeCell ref="D114:G115"/>
    <mergeCell ref="D116:G117"/>
    <mergeCell ref="D100:G101"/>
    <mergeCell ref="D102:G103"/>
    <mergeCell ref="D104:G105"/>
    <mergeCell ref="I89:I90"/>
    <mergeCell ref="I91:I92"/>
    <mergeCell ref="I93:I94"/>
    <mergeCell ref="D106:G107"/>
    <mergeCell ref="C126:C127"/>
    <mergeCell ref="C116:C117"/>
    <mergeCell ref="C118:C119"/>
    <mergeCell ref="C120:C121"/>
    <mergeCell ref="C122:C123"/>
    <mergeCell ref="C124:C125"/>
    <mergeCell ref="C106:C107"/>
    <mergeCell ref="C108:C109"/>
    <mergeCell ref="C110:C111"/>
    <mergeCell ref="C112:C113"/>
    <mergeCell ref="C114:C115"/>
    <mergeCell ref="D96:G97"/>
    <mergeCell ref="D98:G99"/>
    <mergeCell ref="C88:C89"/>
    <mergeCell ref="C90:C91"/>
    <mergeCell ref="C92:C93"/>
    <mergeCell ref="C94:C95"/>
    <mergeCell ref="C96:C97"/>
    <mergeCell ref="D118:G119"/>
    <mergeCell ref="D120:G121"/>
    <mergeCell ref="D122:G123"/>
    <mergeCell ref="D124:G125"/>
    <mergeCell ref="D126:G127"/>
    <mergeCell ref="D85:G87"/>
    <mergeCell ref="D88:G88"/>
    <mergeCell ref="D89:G89"/>
    <mergeCell ref="D90:G91"/>
    <mergeCell ref="D92:G93"/>
    <mergeCell ref="D94:G95"/>
    <mergeCell ref="I121:I122"/>
    <mergeCell ref="I123:I124"/>
    <mergeCell ref="I105:I106"/>
    <mergeCell ref="I107:I108"/>
    <mergeCell ref="I109:I110"/>
    <mergeCell ref="I111:I112"/>
    <mergeCell ref="I113:I114"/>
    <mergeCell ref="I95:I96"/>
    <mergeCell ref="I97:I98"/>
    <mergeCell ref="I99:I100"/>
    <mergeCell ref="I101:I102"/>
    <mergeCell ref="I103:I104"/>
    <mergeCell ref="H120:H121"/>
    <mergeCell ref="H122:H123"/>
    <mergeCell ref="H124:H125"/>
    <mergeCell ref="H126:H127"/>
    <mergeCell ref="J96:U97"/>
    <mergeCell ref="I125:I126"/>
    <mergeCell ref="H90:H91"/>
    <mergeCell ref="H92:H93"/>
    <mergeCell ref="H94:H95"/>
    <mergeCell ref="H96:H97"/>
    <mergeCell ref="H98:H99"/>
    <mergeCell ref="H100:H101"/>
    <mergeCell ref="H102:H103"/>
    <mergeCell ref="H104:H105"/>
    <mergeCell ref="H106:H107"/>
    <mergeCell ref="H108:H109"/>
    <mergeCell ref="H110:H111"/>
    <mergeCell ref="H112:H113"/>
    <mergeCell ref="H114:H115"/>
    <mergeCell ref="H116:H117"/>
    <mergeCell ref="H118:H119"/>
    <mergeCell ref="I115:I116"/>
    <mergeCell ref="I117:I118"/>
    <mergeCell ref="I119:I120"/>
  </mergeCells>
  <phoneticPr fontId="4"/>
  <conditionalFormatting sqref="C78:I78 L78:N78 P78">
    <cfRule type="expression" dxfId="2" priority="4">
      <formula>$D$72=$C$78</formula>
    </cfRule>
  </conditionalFormatting>
  <conditionalFormatting sqref="C79:I79 L79:N79 P79">
    <cfRule type="expression" dxfId="1" priority="5">
      <formula>$D$72=$C$79</formula>
    </cfRule>
  </conditionalFormatting>
  <conditionalFormatting sqref="C80:I80 L80:N80 P80">
    <cfRule type="expression" dxfId="0" priority="6">
      <formula>$D$72=$C$80</formula>
    </cfRule>
  </conditionalFormatting>
  <dataValidations count="11">
    <dataValidation type="list" allowBlank="1" showInputMessage="1" showErrorMessage="1" sqref="H16:I16 H18:I18 H20:I20 H22:I22 H24:I24 H26:I26 H28:I28 H30:I30" xr:uid="{30A3551A-EB1D-4E74-9B43-423ACF725744}">
      <formula1>"○(該当),×(非該当)"</formula1>
    </dataValidation>
    <dataValidation type="list" allowBlank="1" showInputMessage="1" showErrorMessage="1" sqref="K16 K18 K20 K22 K24 K26 K28 K30" xr:uid="{8AD2DCDA-AF0E-47F2-8284-C1910457A785}">
      <formula1>"身体障害者手帳1級,身体障害者手帳2級,身体障害者手帳3級,身体障害者手帳4級,身体障害者手帳5級,身体障害者手帳6級,該当しない"</formula1>
    </dataValidation>
    <dataValidation type="list" allowBlank="1" showInputMessage="1" showErrorMessage="1" sqref="L16 L18 L20 L22 L24 L26 L28 L30" xr:uid="{BF18A9A8-1AE8-41BF-A976-B9AE402DD8F2}">
      <formula1>"療育手帳A,療育手帳B,該当しない"</formula1>
    </dataValidation>
    <dataValidation type="list" allowBlank="1" showInputMessage="1" showErrorMessage="1" sqref="M16 M18 M20 M22 M24 M26 M28 M30" xr:uid="{C74625F4-B614-4E91-BCBB-0E63CAEC4ABB}">
      <formula1>"精神障害者保健福祉手帳1級,精神障害者保健福祉手帳2級,精神障害者保健福祉手帳3級,該当しない"</formula1>
    </dataValidation>
    <dataValidation type="list" allowBlank="1" showInputMessage="1" showErrorMessage="1" sqref="M44:M45" xr:uid="{6008777D-8306-4A04-945F-5D36B3E47B20}">
      <formula1>"○(いる),×(いない)"</formula1>
    </dataValidation>
    <dataValidation type="whole" allowBlank="1" showInputMessage="1" showErrorMessage="1" sqref="M62 M60 M58 M56 M54 M52" xr:uid="{59938813-1BFA-4E17-A687-6AF160A193EA}">
      <formula1>0</formula1>
      <formula2>99999</formula2>
    </dataValidation>
    <dataValidation type="whole" allowBlank="1" showInputMessage="1" showErrorMessage="1" sqref="E16 E18 E20 E22 E24 E26 E28 E30" xr:uid="{DD7E82AB-C12C-42CE-8030-A678AC5FE7AB}">
      <formula1>0</formula1>
      <formula2>999</formula2>
    </dataValidation>
    <dataValidation type="whole" allowBlank="1" showInputMessage="1" showErrorMessage="1" sqref="O16 Q16 S16 S18 Q18 O18 O20 Q20 S20 S22 Q22 O22 O24 Q24 S24 S26 Q26 O26 O28 Q28 S28 S30 Q30 O30" xr:uid="{626E8F67-6660-415D-8161-2C6B80BA7805}">
      <formula1>0</formula1>
      <formula2>10000000000000000</formula2>
    </dataValidation>
    <dataValidation type="list" allowBlank="1" showInputMessage="1" showErrorMessage="1" sqref="D70:I70" xr:uid="{A43756D0-E784-479A-8B84-0A8501D0F9DA}">
      <formula1>"復興公営住宅,木造仮設住宅を転用した町営の賃貸住宅"</formula1>
    </dataValidation>
    <dataValidation type="list" allowBlank="1" showInputMessage="1" showErrorMessage="1" sqref="D72:I72" xr:uid="{1B170A2E-6458-45B1-BFD2-D5578A5685E3}">
      <formula1>$AB$72:$AB$75</formula1>
    </dataValidation>
    <dataValidation type="list" allowBlank="1" showInputMessage="1" showErrorMessage="1" sqref="D74:I74" xr:uid="{81AFA2BA-1E68-4B5F-87B4-28DC5E248FE3}">
      <formula1>$AB$78:$AB$80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406CC-0F42-4944-9646-03FE3882B9C4}">
  <dimension ref="A1:T69"/>
  <sheetViews>
    <sheetView workbookViewId="0">
      <selection activeCell="E6" sqref="E6"/>
    </sheetView>
  </sheetViews>
  <sheetFormatPr defaultColWidth="9" defaultRowHeight="18" customHeight="1" x14ac:dyDescent="0.15"/>
  <cols>
    <col min="1" max="1" width="4.625" style="2" customWidth="1"/>
    <col min="2" max="3" width="8.625" style="2" customWidth="1"/>
    <col min="4" max="4" width="16.625" style="2" customWidth="1"/>
    <col min="5" max="5" width="10.625" style="2" customWidth="1"/>
    <col min="6" max="6" width="6.625" style="2" customWidth="1"/>
    <col min="7" max="7" width="10.625" style="2" customWidth="1"/>
    <col min="8" max="8" width="6.625" style="2" customWidth="1"/>
    <col min="9" max="9" width="10.625" style="2" customWidth="1"/>
    <col min="10" max="10" width="6.625" style="2" customWidth="1"/>
    <col min="11" max="11" width="10.625" style="2" customWidth="1"/>
    <col min="12" max="12" width="6.625" style="2" customWidth="1"/>
    <col min="13" max="13" width="10.625" style="2" customWidth="1"/>
    <col min="14" max="14" width="6.625" style="2" customWidth="1"/>
    <col min="15" max="15" width="10.625" style="2" customWidth="1"/>
    <col min="16" max="16" width="6.625" style="2" customWidth="1"/>
    <col min="17" max="17" width="10.625" style="2" customWidth="1"/>
    <col min="18" max="18" width="6.625" style="2" customWidth="1"/>
    <col min="19" max="19" width="10.625" style="2" customWidth="1"/>
    <col min="20" max="20" width="6.625" style="2" customWidth="1"/>
    <col min="21" max="16384" width="9" style="2"/>
  </cols>
  <sheetData>
    <row r="1" spans="1:20" s="19" customFormat="1" ht="18" customHeight="1" x14ac:dyDescent="0.15">
      <c r="B1" s="5" t="s">
        <v>173</v>
      </c>
    </row>
    <row r="2" spans="1:20" ht="18" customHeight="1" x14ac:dyDescent="0.15">
      <c r="A2" s="19"/>
      <c r="B2" s="11" t="s">
        <v>0</v>
      </c>
      <c r="C2" s="11"/>
      <c r="D2" s="12" t="s">
        <v>1</v>
      </c>
      <c r="E2" s="2">
        <v>0</v>
      </c>
      <c r="F2" s="2">
        <v>0</v>
      </c>
      <c r="G2" s="2">
        <v>2</v>
      </c>
      <c r="H2" s="2">
        <v>2</v>
      </c>
      <c r="I2" s="2">
        <v>4</v>
      </c>
      <c r="J2" s="2">
        <v>4</v>
      </c>
      <c r="K2" s="2">
        <v>6</v>
      </c>
      <c r="L2" s="2">
        <v>6</v>
      </c>
      <c r="M2" s="2">
        <v>8</v>
      </c>
      <c r="N2" s="2">
        <v>8</v>
      </c>
      <c r="O2" s="2">
        <v>10</v>
      </c>
      <c r="P2" s="2">
        <v>10</v>
      </c>
      <c r="Q2" s="2">
        <v>12</v>
      </c>
      <c r="R2" s="2">
        <v>12</v>
      </c>
      <c r="S2" s="2">
        <v>14</v>
      </c>
      <c r="T2" s="2">
        <v>14</v>
      </c>
    </row>
    <row r="3" spans="1:20" ht="18" customHeight="1" x14ac:dyDescent="0.15">
      <c r="A3" s="19"/>
      <c r="B3" s="13" t="s">
        <v>2</v>
      </c>
      <c r="C3" s="13" t="s">
        <v>3</v>
      </c>
      <c r="D3" s="14" t="s">
        <v>4</v>
      </c>
      <c r="E3" s="22" t="s">
        <v>45</v>
      </c>
      <c r="F3" s="22"/>
      <c r="G3" s="22" t="s">
        <v>38</v>
      </c>
      <c r="H3" s="22"/>
      <c r="I3" s="22" t="s">
        <v>39</v>
      </c>
      <c r="J3" s="22"/>
      <c r="K3" s="22" t="s">
        <v>40</v>
      </c>
      <c r="L3" s="22"/>
      <c r="M3" s="22" t="s">
        <v>41</v>
      </c>
      <c r="N3" s="22"/>
      <c r="O3" s="22" t="s">
        <v>42</v>
      </c>
      <c r="P3" s="22"/>
      <c r="Q3" s="22" t="s">
        <v>467</v>
      </c>
      <c r="R3" s="22"/>
      <c r="S3" s="22" t="s">
        <v>468</v>
      </c>
      <c r="T3" s="22"/>
    </row>
    <row r="4" spans="1:20" ht="18" customHeight="1" x14ac:dyDescent="0.15">
      <c r="A4" s="19"/>
      <c r="B4" s="3"/>
      <c r="C4" s="3">
        <v>650999</v>
      </c>
      <c r="D4" s="9">
        <v>0</v>
      </c>
      <c r="E4" s="3">
        <v>0</v>
      </c>
      <c r="F4" s="23" t="str">
        <f ca="1">IF(AND(OFFSET(家賃シミュレーションシート!$O$16,F$2,0)&lt;=$C4),"●","-")</f>
        <v>●</v>
      </c>
      <c r="G4" s="3">
        <v>0</v>
      </c>
      <c r="H4" s="23" t="str">
        <f ca="1">IF(AND(OFFSET(家賃シミュレーションシート!$O$16,H$2,0)&lt;=$C4),"●","-")</f>
        <v>●</v>
      </c>
      <c r="I4" s="3">
        <v>0</v>
      </c>
      <c r="J4" s="23" t="str">
        <f ca="1">IF(AND(OFFSET(家賃シミュレーションシート!$O$16,J$2,0)&lt;=$C4),"●","-")</f>
        <v>●</v>
      </c>
      <c r="K4" s="3">
        <v>0</v>
      </c>
      <c r="L4" s="23" t="str">
        <f ca="1">IF(AND(OFFSET(家賃シミュレーションシート!$O$16,L$2,0)&lt;=$C4),"●","-")</f>
        <v>●</v>
      </c>
      <c r="M4" s="3">
        <v>0</v>
      </c>
      <c r="N4" s="23" t="str">
        <f ca="1">IF(AND(OFFSET(家賃シミュレーションシート!$O$16,N$2,0)&lt;=$C4),"●","-")</f>
        <v>●</v>
      </c>
      <c r="O4" s="3">
        <v>0</v>
      </c>
      <c r="P4" s="23" t="str">
        <f ca="1">IF(AND(OFFSET(家賃シミュレーションシート!$O$16,P$2,0)&lt;=$C4),"●","-")</f>
        <v>●</v>
      </c>
      <c r="Q4" s="3">
        <v>0</v>
      </c>
      <c r="R4" s="23" t="str">
        <f ca="1">IF(AND(OFFSET(家賃シミュレーションシート!$O$16,R$2,0)&lt;=$C4),"●","-")</f>
        <v>●</v>
      </c>
      <c r="S4" s="3">
        <v>0</v>
      </c>
      <c r="T4" s="23" t="str">
        <f ca="1">IF(AND(OFFSET(家賃シミュレーションシート!$O$16,T$2,0)&lt;=$C4),"●","-")</f>
        <v>●</v>
      </c>
    </row>
    <row r="5" spans="1:20" ht="18" customHeight="1" x14ac:dyDescent="0.15">
      <c r="A5" s="19"/>
      <c r="B5" s="3">
        <v>651000</v>
      </c>
      <c r="C5" s="4">
        <v>1899999</v>
      </c>
      <c r="D5" s="9" t="s">
        <v>174</v>
      </c>
      <c r="E5" s="3">
        <f ca="1">OFFSET(家賃シミュレーションシート!$O$16,E$2,0)-650000</f>
        <v>-650000</v>
      </c>
      <c r="F5" s="23" t="str">
        <f ca="1">IF(AND(OFFSET(家賃シミュレーションシート!$O$16,F$2,0)&gt;=$B5,OFFSET(家賃シミュレーションシート!$O$16,F$2,0)&lt;=$C5),"●","-")</f>
        <v>-</v>
      </c>
      <c r="G5" s="3">
        <f ca="1">OFFSET(家賃シミュレーションシート!$O$16,G$2,0)-650000</f>
        <v>-650000</v>
      </c>
      <c r="H5" s="23" t="str">
        <f ca="1">IF(AND(OFFSET(家賃シミュレーションシート!$O$16,H$2,0)&gt;=$B5,OFFSET(家賃シミュレーションシート!$O$16,H$2,0)&lt;=$C5),"●","-")</f>
        <v>-</v>
      </c>
      <c r="I5" s="3">
        <f ca="1">OFFSET(家賃シミュレーションシート!$O$16,I$2,0)-650000</f>
        <v>-650000</v>
      </c>
      <c r="J5" s="23" t="str">
        <f ca="1">IF(AND(OFFSET(家賃シミュレーションシート!$O$16,J$2,0)&gt;=$B5,OFFSET(家賃シミュレーションシート!$O$16,J$2,0)&lt;=$C5),"●","-")</f>
        <v>-</v>
      </c>
      <c r="K5" s="3">
        <f ca="1">OFFSET(家賃シミュレーションシート!$O$16,K$2,0)-650000</f>
        <v>-650000</v>
      </c>
      <c r="L5" s="23" t="str">
        <f ca="1">IF(AND(OFFSET(家賃シミュレーションシート!$O$16,L$2,0)&gt;=$B5,OFFSET(家賃シミュレーションシート!$O$16,L$2,0)&lt;=$C5),"●","-")</f>
        <v>-</v>
      </c>
      <c r="M5" s="3">
        <f ca="1">OFFSET(家賃シミュレーションシート!$O$16,M$2,0)-650000</f>
        <v>-650000</v>
      </c>
      <c r="N5" s="23" t="str">
        <f ca="1">IF(AND(OFFSET(家賃シミュレーションシート!$O$16,N$2,0)&gt;=$B5,OFFSET(家賃シミュレーションシート!$O$16,N$2,0)&lt;=$C5),"●","-")</f>
        <v>-</v>
      </c>
      <c r="O5" s="3">
        <f ca="1">OFFSET(家賃シミュレーションシート!$O$16,O$2,0)-650000</f>
        <v>-650000</v>
      </c>
      <c r="P5" s="23" t="str">
        <f ca="1">IF(AND(OFFSET(家賃シミュレーションシート!$O$16,P$2,0)&gt;=$B5,OFFSET(家賃シミュレーションシート!$O$16,P$2,0)&lt;=$C5),"●","-")</f>
        <v>-</v>
      </c>
      <c r="Q5" s="3">
        <f ca="1">OFFSET(家賃シミュレーションシート!$O$16,Q$2,0)-650000</f>
        <v>-650000</v>
      </c>
      <c r="R5" s="23" t="str">
        <f ca="1">IF(AND(OFFSET(家賃シミュレーションシート!$O$16,R$2,0)&gt;=$B5,OFFSET(家賃シミュレーションシート!$O$16,R$2,0)&lt;=$C5),"●","-")</f>
        <v>-</v>
      </c>
      <c r="S5" s="3">
        <f ca="1">OFFSET(家賃シミュレーションシート!$O$16,S$2,0)-650000</f>
        <v>-650000</v>
      </c>
      <c r="T5" s="23" t="str">
        <f ca="1">IF(AND(OFFSET(家賃シミュレーションシート!$O$16,T$2,0)&gt;=$B5,OFFSET(家賃シミュレーションシート!$O$16,T$2,0)&lt;=$C5),"●","-")</f>
        <v>-</v>
      </c>
    </row>
    <row r="6" spans="1:20" ht="18" customHeight="1" x14ac:dyDescent="0.15">
      <c r="A6" s="19"/>
      <c r="B6" s="4">
        <v>1900000</v>
      </c>
      <c r="C6" s="4">
        <v>3599999</v>
      </c>
      <c r="D6" s="10" t="s">
        <v>5</v>
      </c>
      <c r="E6" s="3">
        <f ca="1">(ROUNDDOWN(OFFSET(家賃シミュレーションシート!$O$16,E$2,0)/4000,0)*4000)*0.7-80000</f>
        <v>-80000</v>
      </c>
      <c r="F6" s="23" t="str">
        <f ca="1">IF(AND(OFFSET(家賃シミュレーションシート!$O$16,F$2,0)&gt;=$B6,OFFSET(家賃シミュレーションシート!$O$16,F$2,0)&lt;=$C6),"●","-")</f>
        <v>-</v>
      </c>
      <c r="G6" s="3">
        <f ca="1">(ROUNDDOWN(OFFSET(家賃シミュレーションシート!$O$16,G$2,0)/4000,0)*4000)*0.7-80000</f>
        <v>-80000</v>
      </c>
      <c r="H6" s="23" t="str">
        <f ca="1">IF(AND(OFFSET(家賃シミュレーションシート!$O$16,H$2,0)&gt;=$B6,OFFSET(家賃シミュレーションシート!$O$16,H$2,0)&lt;=$C6),"●","-")</f>
        <v>-</v>
      </c>
      <c r="I6" s="3">
        <f ca="1">(ROUNDDOWN(OFFSET(家賃シミュレーションシート!$O$16,I$2,0)/4000,0)*4000)*0.7-80000</f>
        <v>-80000</v>
      </c>
      <c r="J6" s="23" t="str">
        <f ca="1">IF(AND(OFFSET(家賃シミュレーションシート!$O$16,J$2,0)&gt;=$B6,OFFSET(家賃シミュレーションシート!$O$16,J$2,0)&lt;=$C6),"●","-")</f>
        <v>-</v>
      </c>
      <c r="K6" s="3">
        <f ca="1">(ROUNDDOWN(OFFSET(家賃シミュレーションシート!$O$16,K$2,0)/4000,0)*4000)*0.7-80000</f>
        <v>-80000</v>
      </c>
      <c r="L6" s="23" t="str">
        <f ca="1">IF(AND(OFFSET(家賃シミュレーションシート!$O$16,L$2,0)&gt;=$B6,OFFSET(家賃シミュレーションシート!$O$16,L$2,0)&lt;=$C6),"●","-")</f>
        <v>-</v>
      </c>
      <c r="M6" s="3">
        <f ca="1">(ROUNDDOWN(OFFSET(家賃シミュレーションシート!$O$16,M$2,0)/4000,0)*4000)*0.7-80000</f>
        <v>-80000</v>
      </c>
      <c r="N6" s="23" t="str">
        <f ca="1">IF(AND(OFFSET(家賃シミュレーションシート!$O$16,N$2,0)&gt;=$B6,OFFSET(家賃シミュレーションシート!$O$16,N$2,0)&lt;=$C6),"●","-")</f>
        <v>-</v>
      </c>
      <c r="O6" s="3">
        <f ca="1">(ROUNDDOWN(OFFSET(家賃シミュレーションシート!$O$16,O$2,0)/4000,0)*4000)*0.7-80000</f>
        <v>-80000</v>
      </c>
      <c r="P6" s="23" t="str">
        <f ca="1">IF(AND(OFFSET(家賃シミュレーションシート!$O$16,P$2,0)&gt;=$B6,OFFSET(家賃シミュレーションシート!$O$16,P$2,0)&lt;=$C6),"●","-")</f>
        <v>-</v>
      </c>
      <c r="Q6" s="3">
        <f ca="1">(ROUNDDOWN(OFFSET(家賃シミュレーションシート!$O$16,Q$2,0)/4000,0)*4000)*0.7-80000</f>
        <v>-80000</v>
      </c>
      <c r="R6" s="23" t="str">
        <f ca="1">IF(AND(OFFSET(家賃シミュレーションシート!$O$16,R$2,0)&gt;=$B6,OFFSET(家賃シミュレーションシート!$O$16,R$2,0)&lt;=$C6),"●","-")</f>
        <v>-</v>
      </c>
      <c r="S6" s="3">
        <f ca="1">(ROUNDDOWN(OFFSET(家賃シミュレーションシート!$O$16,S$2,0)/4000,0)*4000)*0.7-80000</f>
        <v>-80000</v>
      </c>
      <c r="T6" s="23" t="str">
        <f ca="1">IF(AND(OFFSET(家賃シミュレーションシート!$O$16,T$2,0)&gt;=$B6,OFFSET(家賃シミュレーションシート!$O$16,T$2,0)&lt;=$C6),"●","-")</f>
        <v>-</v>
      </c>
    </row>
    <row r="7" spans="1:20" ht="18" customHeight="1" x14ac:dyDescent="0.15">
      <c r="A7" s="19"/>
      <c r="B7" s="4">
        <v>3600000</v>
      </c>
      <c r="C7" s="4">
        <v>6599999</v>
      </c>
      <c r="D7" s="10" t="s">
        <v>175</v>
      </c>
      <c r="E7" s="3">
        <f ca="1">(ROUNDDOWN(OFFSET(家賃シミュレーションシート!$O$16,E$2,0)/4000,0)*4000)*0.8-440000</f>
        <v>-440000</v>
      </c>
      <c r="F7" s="23" t="str">
        <f ca="1">IF(AND(OFFSET(家賃シミュレーションシート!$O$16,F$2,0)&gt;=$B7,OFFSET(家賃シミュレーションシート!$O$16,F$2,0)&lt;=$C7),"●","-")</f>
        <v>-</v>
      </c>
      <c r="G7" s="3">
        <f ca="1">(ROUNDDOWN(OFFSET(家賃シミュレーションシート!$O$16,G$2,0)/4000,0)*4000)*0.8-440000</f>
        <v>-440000</v>
      </c>
      <c r="H7" s="23" t="str">
        <f ca="1">IF(AND(OFFSET(家賃シミュレーションシート!$O$16,H$2,0)&gt;=$B7,OFFSET(家賃シミュレーションシート!$O$16,H$2,0)&lt;=$C7),"●","-")</f>
        <v>-</v>
      </c>
      <c r="I7" s="3">
        <f ca="1">(ROUNDDOWN(OFFSET(家賃シミュレーションシート!$O$16,I$2,0)/4000,0)*4000)*0.8-440000</f>
        <v>-440000</v>
      </c>
      <c r="J7" s="23" t="str">
        <f ca="1">IF(AND(OFFSET(家賃シミュレーションシート!$O$16,J$2,0)&gt;=$B7,OFFSET(家賃シミュレーションシート!$O$16,J$2,0)&lt;=$C7),"●","-")</f>
        <v>-</v>
      </c>
      <c r="K7" s="3">
        <f ca="1">(ROUNDDOWN(OFFSET(家賃シミュレーションシート!$O$16,K$2,0)/4000,0)*4000)*0.8-440000</f>
        <v>-440000</v>
      </c>
      <c r="L7" s="23" t="str">
        <f ca="1">IF(AND(OFFSET(家賃シミュレーションシート!$O$16,L$2,0)&gt;=$B7,OFFSET(家賃シミュレーションシート!$O$16,L$2,0)&lt;=$C7),"●","-")</f>
        <v>-</v>
      </c>
      <c r="M7" s="3">
        <f ca="1">(ROUNDDOWN(OFFSET(家賃シミュレーションシート!$O$16,M$2,0)/4000,0)*4000)*0.8-440000</f>
        <v>-440000</v>
      </c>
      <c r="N7" s="23" t="str">
        <f ca="1">IF(AND(OFFSET(家賃シミュレーションシート!$O$16,N$2,0)&gt;=$B7,OFFSET(家賃シミュレーションシート!$O$16,N$2,0)&lt;=$C7),"●","-")</f>
        <v>-</v>
      </c>
      <c r="O7" s="3">
        <f ca="1">(ROUNDDOWN(OFFSET(家賃シミュレーションシート!$O$16,O$2,0)/4000,0)*4000)*0.8-440000</f>
        <v>-440000</v>
      </c>
      <c r="P7" s="23" t="str">
        <f ca="1">IF(AND(OFFSET(家賃シミュレーションシート!$O$16,P$2,0)&gt;=$B7,OFFSET(家賃シミュレーションシート!$O$16,P$2,0)&lt;=$C7),"●","-")</f>
        <v>-</v>
      </c>
      <c r="Q7" s="3">
        <f ca="1">(ROUNDDOWN(OFFSET(家賃シミュレーションシート!$O$16,Q$2,0)/4000,0)*4000)*0.8-440000</f>
        <v>-440000</v>
      </c>
      <c r="R7" s="23" t="str">
        <f ca="1">IF(AND(OFFSET(家賃シミュレーションシート!$O$16,R$2,0)&gt;=$B7,OFFSET(家賃シミュレーションシート!$O$16,R$2,0)&lt;=$C7),"●","-")</f>
        <v>-</v>
      </c>
      <c r="S7" s="3">
        <f ca="1">(ROUNDDOWN(OFFSET(家賃シミュレーションシート!$O$16,S$2,0)/4000,0)*4000)*0.8-440000</f>
        <v>-440000</v>
      </c>
      <c r="T7" s="23" t="str">
        <f ca="1">IF(AND(OFFSET(家賃シミュレーションシート!$O$16,T$2,0)&gt;=$B7,OFFSET(家賃シミュレーションシート!$O$16,T$2,0)&lt;=$C7),"●","-")</f>
        <v>-</v>
      </c>
    </row>
    <row r="8" spans="1:20" ht="18" customHeight="1" x14ac:dyDescent="0.15">
      <c r="A8" s="19"/>
      <c r="B8" s="4">
        <v>6600000</v>
      </c>
      <c r="C8" s="4">
        <v>8499999</v>
      </c>
      <c r="D8" s="10" t="s">
        <v>6</v>
      </c>
      <c r="E8" s="3">
        <f ca="1">OFFSET(家賃シミュレーションシート!$O$16,E$2,0)*0.9-1100000</f>
        <v>-1100000</v>
      </c>
      <c r="F8" s="23" t="str">
        <f ca="1">IF(AND(OFFSET(家賃シミュレーションシート!$O$16,F$2,0)&gt;=$B8,OFFSET(家賃シミュレーションシート!$O$16,F$2,0)&lt;=$C8),"●","-")</f>
        <v>-</v>
      </c>
      <c r="G8" s="3">
        <f ca="1">OFFSET(家賃シミュレーションシート!$O$16,G$2,0)*0.9-1100000</f>
        <v>-1100000</v>
      </c>
      <c r="H8" s="23" t="str">
        <f ca="1">IF(AND(OFFSET(家賃シミュレーションシート!$O$16,H$2,0)&gt;=$B8,OFFSET(家賃シミュレーションシート!$O$16,H$2,0)&lt;=$C8),"●","-")</f>
        <v>-</v>
      </c>
      <c r="I8" s="3">
        <f ca="1">OFFSET(家賃シミュレーションシート!$O$16,I$2,0)*0.9-1100000</f>
        <v>-1100000</v>
      </c>
      <c r="J8" s="23" t="str">
        <f ca="1">IF(AND(OFFSET(家賃シミュレーションシート!$O$16,J$2,0)&gt;=$B8,OFFSET(家賃シミュレーションシート!$O$16,J$2,0)&lt;=$C8),"●","-")</f>
        <v>-</v>
      </c>
      <c r="K8" s="3">
        <f ca="1">OFFSET(家賃シミュレーションシート!$O$16,K$2,0)*0.9-1100000</f>
        <v>-1100000</v>
      </c>
      <c r="L8" s="23" t="str">
        <f ca="1">IF(AND(OFFSET(家賃シミュレーションシート!$O$16,L$2,0)&gt;=$B8,OFFSET(家賃シミュレーションシート!$O$16,L$2,0)&lt;=$C8),"●","-")</f>
        <v>-</v>
      </c>
      <c r="M8" s="3">
        <f ca="1">OFFSET(家賃シミュレーションシート!$O$16,M$2,0)*0.9-1100000</f>
        <v>-1100000</v>
      </c>
      <c r="N8" s="23" t="str">
        <f ca="1">IF(AND(OFFSET(家賃シミュレーションシート!$O$16,N$2,0)&gt;=$B8,OFFSET(家賃シミュレーションシート!$O$16,N$2,0)&lt;=$C8),"●","-")</f>
        <v>-</v>
      </c>
      <c r="O8" s="3">
        <f ca="1">OFFSET(家賃シミュレーションシート!$O$16,O$2,0)*0.9-1100000</f>
        <v>-1100000</v>
      </c>
      <c r="P8" s="23" t="str">
        <f ca="1">IF(AND(OFFSET(家賃シミュレーションシート!$O$16,P$2,0)&gt;=$B8,OFFSET(家賃シミュレーションシート!$O$16,P$2,0)&lt;=$C8),"●","-")</f>
        <v>-</v>
      </c>
      <c r="Q8" s="3">
        <f ca="1">OFFSET(家賃シミュレーションシート!$O$16,Q$2,0)*0.9-1100000</f>
        <v>-1100000</v>
      </c>
      <c r="R8" s="23" t="str">
        <f ca="1">IF(AND(OFFSET(家賃シミュレーションシート!$O$16,R$2,0)&gt;=$B8,OFFSET(家賃シミュレーションシート!$O$16,R$2,0)&lt;=$C8),"●","-")</f>
        <v>-</v>
      </c>
      <c r="S8" s="3">
        <f ca="1">OFFSET(家賃シミュレーションシート!$O$16,S$2,0)*0.9-1100000</f>
        <v>-1100000</v>
      </c>
      <c r="T8" s="23" t="str">
        <f ca="1">IF(AND(OFFSET(家賃シミュレーションシート!$O$16,T$2,0)&gt;=$B8,OFFSET(家賃シミュレーションシート!$O$16,T$2,0)&lt;=$C8),"●","-")</f>
        <v>-</v>
      </c>
    </row>
    <row r="9" spans="1:20" ht="18" customHeight="1" x14ac:dyDescent="0.15">
      <c r="A9" s="19"/>
      <c r="B9" s="4">
        <v>8500000</v>
      </c>
      <c r="C9" s="4"/>
      <c r="D9" s="10" t="s">
        <v>7</v>
      </c>
      <c r="E9" s="3">
        <f ca="1">OFFSET(家賃シミュレーションシート!$O$16,E$2,0)-1950000</f>
        <v>-1950000</v>
      </c>
      <c r="F9" s="23" t="str">
        <f ca="1">IF(AND(OFFSET(家賃シミュレーションシート!$O$16,F$2,0)&gt;=$B9,OFFSET(家賃シミュレーションシート!$O$16,F$2,0)&lt;=$C9),"●","-")</f>
        <v>-</v>
      </c>
      <c r="G9" s="3">
        <f ca="1">OFFSET(家賃シミュレーションシート!$O$16,G$2,0)-1950000</f>
        <v>-1950000</v>
      </c>
      <c r="H9" s="23" t="str">
        <f ca="1">IF(AND(OFFSET(家賃シミュレーションシート!$O$16,H$2,0)&gt;=$B9,OFFSET(家賃シミュレーションシート!$O$16,H$2,0)&lt;=$C9),"●","-")</f>
        <v>-</v>
      </c>
      <c r="I9" s="3">
        <f ca="1">OFFSET(家賃シミュレーションシート!$O$16,I$2,0)-1950000</f>
        <v>-1950000</v>
      </c>
      <c r="J9" s="23" t="str">
        <f ca="1">IF(AND(OFFSET(家賃シミュレーションシート!$O$16,J$2,0)&gt;=$B9,OFFSET(家賃シミュレーションシート!$O$16,J$2,0)&lt;=$C9),"●","-")</f>
        <v>-</v>
      </c>
      <c r="K9" s="3">
        <f ca="1">OFFSET(家賃シミュレーションシート!$O$16,K$2,0)-1950000</f>
        <v>-1950000</v>
      </c>
      <c r="L9" s="23" t="str">
        <f ca="1">IF(AND(OFFSET(家賃シミュレーションシート!$O$16,L$2,0)&gt;=$B9,OFFSET(家賃シミュレーションシート!$O$16,L$2,0)&lt;=$C9),"●","-")</f>
        <v>-</v>
      </c>
      <c r="M9" s="3">
        <f ca="1">OFFSET(家賃シミュレーションシート!$O$16,M$2,0)-1950000</f>
        <v>-1950000</v>
      </c>
      <c r="N9" s="23" t="str">
        <f ca="1">IF(AND(OFFSET(家賃シミュレーションシート!$O$16,N$2,0)&gt;=$B9,OFFSET(家賃シミュレーションシート!$O$16,N$2,0)&lt;=$C9),"●","-")</f>
        <v>-</v>
      </c>
      <c r="O9" s="3">
        <f ca="1">OFFSET(家賃シミュレーションシート!$O$16,O$2,0)-1950000</f>
        <v>-1950000</v>
      </c>
      <c r="P9" s="23" t="str">
        <f ca="1">IF(AND(OFFSET(家賃シミュレーションシート!$O$16,P$2,0)&gt;=$B9,OFFSET(家賃シミュレーションシート!$O$16,P$2,0)&lt;=$C9),"●","-")</f>
        <v>-</v>
      </c>
      <c r="Q9" s="3">
        <f ca="1">OFFSET(家賃シミュレーションシート!$O$16,Q$2,0)-1950000</f>
        <v>-1950000</v>
      </c>
      <c r="R9" s="23" t="str">
        <f ca="1">IF(AND(OFFSET(家賃シミュレーションシート!$O$16,R$2,0)&gt;=$B9,OFFSET(家賃シミュレーションシート!$O$16,R$2,0)&lt;=$C9),"●","-")</f>
        <v>-</v>
      </c>
      <c r="S9" s="3">
        <f ca="1">OFFSET(家賃シミュレーションシート!$O$16,S$2,0)-1950000</f>
        <v>-1950000</v>
      </c>
      <c r="T9" s="23" t="str">
        <f ca="1">IF(AND(OFFSET(家賃シミュレーションシート!$O$16,T$2,0)&gt;=$B9,OFFSET(家賃シミュレーションシート!$O$16,T$2,0)&lt;=$C9),"●","-")</f>
        <v>-</v>
      </c>
    </row>
    <row r="10" spans="1:20" s="18" customFormat="1" ht="18" customHeight="1" x14ac:dyDescent="0.15">
      <c r="B10" s="6" t="s">
        <v>8</v>
      </c>
    </row>
    <row r="11" spans="1:20" s="18" customFormat="1" ht="18" customHeight="1" x14ac:dyDescent="0.15">
      <c r="B11" s="6" t="s">
        <v>19</v>
      </c>
    </row>
    <row r="12" spans="1:20" ht="18" customHeight="1" x14ac:dyDescent="0.15">
      <c r="A12" s="18"/>
      <c r="B12" s="1" t="s">
        <v>9</v>
      </c>
    </row>
    <row r="13" spans="1:20" ht="18" customHeight="1" x14ac:dyDescent="0.15">
      <c r="A13" s="18"/>
      <c r="B13" s="11" t="s">
        <v>10</v>
      </c>
      <c r="C13" s="11"/>
      <c r="D13" s="15" t="s">
        <v>11</v>
      </c>
      <c r="E13" s="2">
        <v>0</v>
      </c>
      <c r="F13" s="2">
        <v>0</v>
      </c>
      <c r="G13" s="2">
        <v>2</v>
      </c>
      <c r="H13" s="2">
        <v>2</v>
      </c>
      <c r="I13" s="2">
        <v>4</v>
      </c>
      <c r="J13" s="2">
        <v>4</v>
      </c>
      <c r="K13" s="2">
        <v>6</v>
      </c>
      <c r="L13" s="2">
        <v>6</v>
      </c>
      <c r="M13" s="2">
        <v>8</v>
      </c>
      <c r="N13" s="2">
        <v>8</v>
      </c>
      <c r="O13" s="2">
        <v>10</v>
      </c>
      <c r="P13" s="2">
        <v>10</v>
      </c>
      <c r="Q13" s="2">
        <v>12</v>
      </c>
      <c r="R13" s="2">
        <v>12</v>
      </c>
      <c r="S13" s="2">
        <v>14</v>
      </c>
      <c r="T13" s="2">
        <v>14</v>
      </c>
    </row>
    <row r="14" spans="1:20" ht="18" customHeight="1" x14ac:dyDescent="0.15">
      <c r="A14" s="18"/>
      <c r="B14" s="13" t="s">
        <v>2</v>
      </c>
      <c r="C14" s="13" t="s">
        <v>3</v>
      </c>
      <c r="D14" s="14" t="s">
        <v>4</v>
      </c>
      <c r="E14" s="22" t="s">
        <v>45</v>
      </c>
      <c r="F14" s="22"/>
      <c r="G14" s="22" t="s">
        <v>38</v>
      </c>
      <c r="H14" s="22"/>
      <c r="I14" s="22" t="s">
        <v>39</v>
      </c>
      <c r="J14" s="22"/>
      <c r="K14" s="22" t="s">
        <v>40</v>
      </c>
      <c r="L14" s="22"/>
      <c r="M14" s="22" t="s">
        <v>41</v>
      </c>
      <c r="N14" s="22"/>
      <c r="O14" s="22" t="s">
        <v>42</v>
      </c>
      <c r="P14" s="22"/>
      <c r="Q14" s="22" t="s">
        <v>467</v>
      </c>
      <c r="R14" s="22"/>
      <c r="S14" s="22" t="s">
        <v>468</v>
      </c>
      <c r="T14" s="22"/>
    </row>
    <row r="15" spans="1:20" ht="18" customHeight="1" x14ac:dyDescent="0.15">
      <c r="A15" s="18"/>
      <c r="B15" s="3"/>
      <c r="C15" s="3">
        <v>600000</v>
      </c>
      <c r="D15" s="8">
        <v>0</v>
      </c>
      <c r="E15" s="3">
        <v>0</v>
      </c>
      <c r="F15" s="23" t="str">
        <f ca="1">IF(AND(OFFSET(家賃シミュレーションシート!$Q$16,F$13,0)&lt;=$C15,OFFSET(家賃シミュレーションシート!$O$16,F$13,0)+OFFSET(家賃シミュレーションシート!$S$16,F$13,0)&lt;=10000000,OFFSET(家賃シミュレーションシート!$E$16,F$13,0)&lt;65),"●","-")</f>
        <v>●</v>
      </c>
      <c r="G15" s="3">
        <v>0</v>
      </c>
      <c r="H15" s="23" t="str">
        <f ca="1">IF(AND(OFFSET(家賃シミュレーションシート!$Q$16,H$13,0)&lt;=$C15,OFFSET(家賃シミュレーションシート!$O$16,H$13,0)+OFFSET(家賃シミュレーションシート!$S$16,H$13,0)&lt;=10000000,OFFSET(家賃シミュレーションシート!$E$16,H$13,0)&lt;65),"●","-")</f>
        <v>●</v>
      </c>
      <c r="I15" s="3">
        <v>0</v>
      </c>
      <c r="J15" s="23" t="str">
        <f ca="1">IF(AND(OFFSET(家賃シミュレーションシート!$Q$16,J$13,0)&lt;=$C15,OFFSET(家賃シミュレーションシート!$O$16,J$13,0)+OFFSET(家賃シミュレーションシート!$S$16,J$13,0)&lt;=10000000,OFFSET(家賃シミュレーションシート!$E$16,J$13,0)&lt;65),"●","-")</f>
        <v>●</v>
      </c>
      <c r="K15" s="3">
        <v>0</v>
      </c>
      <c r="L15" s="23" t="str">
        <f ca="1">IF(AND(OFFSET(家賃シミュレーションシート!$Q$16,L$13,0)&lt;=$C15,OFFSET(家賃シミュレーションシート!$O$16,L$13,0)+OFFSET(家賃シミュレーションシート!$S$16,L$13,0)&lt;=10000000,OFFSET(家賃シミュレーションシート!$E$16,L$13,0)&lt;65),"●","-")</f>
        <v>●</v>
      </c>
      <c r="M15" s="3">
        <v>0</v>
      </c>
      <c r="N15" s="23" t="str">
        <f ca="1">IF(AND(OFFSET(家賃シミュレーションシート!$Q$16,N$13,0)&lt;=$C15,OFFSET(家賃シミュレーションシート!$O$16,N$13,0)+OFFSET(家賃シミュレーションシート!$S$16,N$13,0)&lt;=10000000,OFFSET(家賃シミュレーションシート!$E$16,N$13,0)&lt;65),"●","-")</f>
        <v>●</v>
      </c>
      <c r="O15" s="3">
        <v>0</v>
      </c>
      <c r="P15" s="23" t="str">
        <f ca="1">IF(AND(OFFSET(家賃シミュレーションシート!$Q$16,P$13,0)&lt;=$C15,OFFSET(家賃シミュレーションシート!$O$16,P$13,0)+OFFSET(家賃シミュレーションシート!$S$16,P$13,0)&lt;=10000000,OFFSET(家賃シミュレーションシート!$E$16,P$13,0)&lt;65),"●","-")</f>
        <v>●</v>
      </c>
      <c r="Q15" s="3">
        <v>0</v>
      </c>
      <c r="R15" s="23" t="str">
        <f ca="1">IF(AND(OFFSET(家賃シミュレーションシート!$Q$16,R$13,0)&lt;=$C15,OFFSET(家賃シミュレーションシート!$O$16,R$13,0)+OFFSET(家賃シミュレーションシート!$S$16,R$13,0)&lt;=10000000,OFFSET(家賃シミュレーションシート!$E$16,R$13,0)&lt;65),"●","-")</f>
        <v>●</v>
      </c>
      <c r="S15" s="3">
        <v>0</v>
      </c>
      <c r="T15" s="23" t="str">
        <f ca="1">IF(AND(OFFSET(家賃シミュレーションシート!$Q$16,T$13,0)&lt;=$C15,OFFSET(家賃シミュレーションシート!$O$16,T$13,0)+OFFSET(家賃シミュレーションシート!$S$16,T$13,0)&lt;=10000000,OFFSET(家賃シミュレーションシート!$E$16,T$13,0)&lt;65),"●","-")</f>
        <v>●</v>
      </c>
    </row>
    <row r="16" spans="1:20" ht="18" customHeight="1" x14ac:dyDescent="0.15">
      <c r="A16" s="18"/>
      <c r="B16" s="3">
        <v>600001</v>
      </c>
      <c r="C16" s="3">
        <v>1299999</v>
      </c>
      <c r="D16" s="8" t="s">
        <v>12</v>
      </c>
      <c r="E16" s="3">
        <f ca="1">OFFSET(家賃シミュレーションシート!$Q$16,E$13,0)-600000</f>
        <v>-600000</v>
      </c>
      <c r="F16" s="23" t="str">
        <f ca="1">IF(AND(OFFSET(家賃シミュレーションシート!$Q$16,F$13,0)&gt;=$B16,OFFSET(家賃シミュレーションシート!$Q$16,F$13,0)&lt;=$C16,OFFSET(家賃シミュレーションシート!$O$16,F$13,0)+OFFSET(家賃シミュレーションシート!$S$16,F$13,0)&lt;=10000000,OFFSET(家賃シミュレーションシート!$E$16,F$13,0)&lt;65),"●","-")</f>
        <v>-</v>
      </c>
      <c r="G16" s="3">
        <f ca="1">OFFSET(家賃シミュレーションシート!$Q$16,G$13,0)-600000</f>
        <v>-600000</v>
      </c>
      <c r="H16" s="23" t="str">
        <f ca="1">IF(AND(OFFSET(家賃シミュレーションシート!$Q$16,H$13,0)&gt;=$B16,OFFSET(家賃シミュレーションシート!$Q$16,H$13,0)&lt;=$C16,OFFSET(家賃シミュレーションシート!$O$16,H$13,0)+OFFSET(家賃シミュレーションシート!$S$16,H$13,0)&lt;=10000000,OFFSET(家賃シミュレーションシート!$E$16,H$13,0)&lt;65),"●","-")</f>
        <v>-</v>
      </c>
      <c r="I16" s="3">
        <f ca="1">OFFSET(家賃シミュレーションシート!$Q$16,I$13,0)-600000</f>
        <v>-600000</v>
      </c>
      <c r="J16" s="23" t="str">
        <f ca="1">IF(AND(OFFSET(家賃シミュレーションシート!$Q$16,J$13,0)&gt;=$B16,OFFSET(家賃シミュレーションシート!$Q$16,J$13,0)&lt;=$C16,OFFSET(家賃シミュレーションシート!$O$16,J$13,0)+OFFSET(家賃シミュレーションシート!$S$16,J$13,0)&lt;=10000000,OFFSET(家賃シミュレーションシート!$E$16,J$13,0)&lt;65),"●","-")</f>
        <v>-</v>
      </c>
      <c r="K16" s="3">
        <f ca="1">OFFSET(家賃シミュレーションシート!$Q$16,K$13,0)-600000</f>
        <v>-600000</v>
      </c>
      <c r="L16" s="23" t="str">
        <f ca="1">IF(AND(OFFSET(家賃シミュレーションシート!$Q$16,L$13,0)&gt;=$B16,OFFSET(家賃シミュレーションシート!$Q$16,L$13,0)&lt;=$C16,OFFSET(家賃シミュレーションシート!$O$16,L$13,0)+OFFSET(家賃シミュレーションシート!$S$16,L$13,0)&lt;=10000000,OFFSET(家賃シミュレーションシート!$E$16,L$13,0)&lt;65),"●","-")</f>
        <v>-</v>
      </c>
      <c r="M16" s="3">
        <f ca="1">OFFSET(家賃シミュレーションシート!$Q$16,M$13,0)-600000</f>
        <v>-600000</v>
      </c>
      <c r="N16" s="23" t="str">
        <f ca="1">IF(AND(OFFSET(家賃シミュレーションシート!$Q$16,N$13,0)&gt;=$B16,OFFSET(家賃シミュレーションシート!$Q$16,N$13,0)&lt;=$C16,OFFSET(家賃シミュレーションシート!$O$16,N$13,0)+OFFSET(家賃シミュレーションシート!$S$16,N$13,0)&lt;=10000000,OFFSET(家賃シミュレーションシート!$E$16,N$13,0)&lt;65),"●","-")</f>
        <v>-</v>
      </c>
      <c r="O16" s="3">
        <f ca="1">OFFSET(家賃シミュレーションシート!$Q$16,O$13,0)-600000</f>
        <v>-600000</v>
      </c>
      <c r="P16" s="23" t="str">
        <f ca="1">IF(AND(OFFSET(家賃シミュレーションシート!$Q$16,P$13,0)&gt;=$B16,OFFSET(家賃シミュレーションシート!$Q$16,P$13,0)&lt;=$C16,OFFSET(家賃シミュレーションシート!$O$16,P$13,0)+OFFSET(家賃シミュレーションシート!$S$16,P$13,0)&lt;=10000000,OFFSET(家賃シミュレーションシート!$E$16,P$13,0)&lt;65),"●","-")</f>
        <v>-</v>
      </c>
      <c r="Q16" s="3">
        <f ca="1">OFFSET(家賃シミュレーションシート!$Q$16,Q$13,0)-600000</f>
        <v>-600000</v>
      </c>
      <c r="R16" s="23" t="str">
        <f ca="1">IF(AND(OFFSET(家賃シミュレーションシート!$Q$16,R$13,0)&gt;=$B16,OFFSET(家賃シミュレーションシート!$Q$16,R$13,0)&lt;=$C16,OFFSET(家賃シミュレーションシート!$O$16,R$13,0)+OFFSET(家賃シミュレーションシート!$S$16,R$13,0)&lt;=10000000,OFFSET(家賃シミュレーションシート!$E$16,R$13,0)&lt;65),"●","-")</f>
        <v>-</v>
      </c>
      <c r="S16" s="3">
        <f ca="1">OFFSET(家賃シミュレーションシート!$Q$16,S$13,0)-600000</f>
        <v>-600000</v>
      </c>
      <c r="T16" s="23" t="str">
        <f ca="1">IF(AND(OFFSET(家賃シミュレーションシート!$Q$16,T$13,0)&gt;=$B16,OFFSET(家賃シミュレーションシート!$Q$16,T$13,0)&lt;=$C16,OFFSET(家賃シミュレーションシート!$O$16,T$13,0)+OFFSET(家賃シミュレーションシート!$S$16,T$13,0)&lt;=10000000,OFFSET(家賃シミュレーションシート!$E$16,T$13,0)&lt;65),"●","-")</f>
        <v>-</v>
      </c>
    </row>
    <row r="17" spans="1:20" ht="18" customHeight="1" x14ac:dyDescent="0.15">
      <c r="A17" s="18"/>
      <c r="B17" s="3">
        <v>1300000</v>
      </c>
      <c r="C17" s="3">
        <v>4099999</v>
      </c>
      <c r="D17" s="8" t="s">
        <v>13</v>
      </c>
      <c r="E17" s="3">
        <f ca="1">OFFSET(家賃シミュレーションシート!$Q$16,E$13,0)*0.75-275000</f>
        <v>-275000</v>
      </c>
      <c r="F17" s="23" t="str">
        <f ca="1">IF(AND(OFFSET(家賃シミュレーションシート!$Q$16,F$13,0)&gt;=$B17,OFFSET(家賃シミュレーションシート!$Q$16,F$13,0)&lt;=$C17,OFFSET(家賃シミュレーションシート!$O$16,F$13,0)+OFFSET(家賃シミュレーションシート!$S$16,F$13,0)&lt;=10000000,OFFSET(家賃シミュレーションシート!$E$16,F$13,0)&lt;65),"●","-")</f>
        <v>-</v>
      </c>
      <c r="G17" s="3">
        <f ca="1">OFFSET(家賃シミュレーションシート!$Q$16,G$13,0)*0.75-275000</f>
        <v>-275000</v>
      </c>
      <c r="H17" s="23" t="str">
        <f ca="1">IF(AND(OFFSET(家賃シミュレーションシート!$Q$16,H$13,0)&gt;=$B17,OFFSET(家賃シミュレーションシート!$Q$16,H$13,0)&lt;=$C17,OFFSET(家賃シミュレーションシート!$O$16,H$13,0)+OFFSET(家賃シミュレーションシート!$S$16,H$13,0)&lt;=10000000,OFFSET(家賃シミュレーションシート!$E$16,H$13,0)&lt;65),"●","-")</f>
        <v>-</v>
      </c>
      <c r="I17" s="3">
        <f ca="1">OFFSET(家賃シミュレーションシート!$Q$16,I$13,0)*0.75-275000</f>
        <v>-275000</v>
      </c>
      <c r="J17" s="23" t="str">
        <f ca="1">IF(AND(OFFSET(家賃シミュレーションシート!$Q$16,J$13,0)&gt;=$B17,OFFSET(家賃シミュレーションシート!$Q$16,J$13,0)&lt;=$C17,OFFSET(家賃シミュレーションシート!$O$16,J$13,0)+OFFSET(家賃シミュレーションシート!$S$16,J$13,0)&lt;=10000000,OFFSET(家賃シミュレーションシート!$E$16,J$13,0)&lt;65),"●","-")</f>
        <v>-</v>
      </c>
      <c r="K17" s="3">
        <f ca="1">OFFSET(家賃シミュレーションシート!$Q$16,K$13,0)*0.75-275000</f>
        <v>-275000</v>
      </c>
      <c r="L17" s="23" t="str">
        <f ca="1">IF(AND(OFFSET(家賃シミュレーションシート!$Q$16,L$13,0)&gt;=$B17,OFFSET(家賃シミュレーションシート!$Q$16,L$13,0)&lt;=$C17,OFFSET(家賃シミュレーションシート!$O$16,L$13,0)+OFFSET(家賃シミュレーションシート!$S$16,L$13,0)&lt;=10000000,OFFSET(家賃シミュレーションシート!$E$16,L$13,0)&lt;65),"●","-")</f>
        <v>-</v>
      </c>
      <c r="M17" s="3">
        <f ca="1">OFFSET(家賃シミュレーションシート!$Q$16,M$13,0)*0.75-275000</f>
        <v>-275000</v>
      </c>
      <c r="N17" s="23" t="str">
        <f ca="1">IF(AND(OFFSET(家賃シミュレーションシート!$Q$16,N$13,0)&gt;=$B17,OFFSET(家賃シミュレーションシート!$Q$16,N$13,0)&lt;=$C17,OFFSET(家賃シミュレーションシート!$O$16,N$13,0)+OFFSET(家賃シミュレーションシート!$S$16,N$13,0)&lt;=10000000,OFFSET(家賃シミュレーションシート!$E$16,N$13,0)&lt;65),"●","-")</f>
        <v>-</v>
      </c>
      <c r="O17" s="3">
        <f ca="1">OFFSET(家賃シミュレーションシート!$Q$16,O$13,0)*0.75-275000</f>
        <v>-275000</v>
      </c>
      <c r="P17" s="23" t="str">
        <f ca="1">IF(AND(OFFSET(家賃シミュレーションシート!$Q$16,P$13,0)&gt;=$B17,OFFSET(家賃シミュレーションシート!$Q$16,P$13,0)&lt;=$C17,OFFSET(家賃シミュレーションシート!$O$16,P$13,0)+OFFSET(家賃シミュレーションシート!$S$16,P$13,0)&lt;=10000000,OFFSET(家賃シミュレーションシート!$E$16,P$13,0)&lt;65),"●","-")</f>
        <v>-</v>
      </c>
      <c r="Q17" s="3">
        <f ca="1">OFFSET(家賃シミュレーションシート!$Q$16,Q$13,0)*0.75-275000</f>
        <v>-275000</v>
      </c>
      <c r="R17" s="23" t="str">
        <f ca="1">IF(AND(OFFSET(家賃シミュレーションシート!$Q$16,R$13,0)&gt;=$B17,OFFSET(家賃シミュレーションシート!$Q$16,R$13,0)&lt;=$C17,OFFSET(家賃シミュレーションシート!$O$16,R$13,0)+OFFSET(家賃シミュレーションシート!$S$16,R$13,0)&lt;=10000000,OFFSET(家賃シミュレーションシート!$E$16,R$13,0)&lt;65),"●","-")</f>
        <v>-</v>
      </c>
      <c r="S17" s="3">
        <f ca="1">OFFSET(家賃シミュレーションシート!$Q$16,S$13,0)*0.75-275000</f>
        <v>-275000</v>
      </c>
      <c r="T17" s="23" t="str">
        <f ca="1">IF(AND(OFFSET(家賃シミュレーションシート!$Q$16,T$13,0)&gt;=$B17,OFFSET(家賃シミュレーションシート!$Q$16,T$13,0)&lt;=$C17,OFFSET(家賃シミュレーションシート!$O$16,T$13,0)+OFFSET(家賃シミュレーションシート!$S$16,T$13,0)&lt;=10000000,OFFSET(家賃シミュレーションシート!$E$16,T$13,0)&lt;65),"●","-")</f>
        <v>-</v>
      </c>
    </row>
    <row r="18" spans="1:20" ht="18" customHeight="1" x14ac:dyDescent="0.15">
      <c r="A18" s="18"/>
      <c r="B18" s="3">
        <v>4100000</v>
      </c>
      <c r="C18" s="3">
        <v>7699999</v>
      </c>
      <c r="D18" s="8" t="s">
        <v>14</v>
      </c>
      <c r="E18" s="3">
        <f ca="1">OFFSET(家賃シミュレーションシート!$Q$16,E$13,0)*0.85-685000</f>
        <v>-685000</v>
      </c>
      <c r="F18" s="23" t="str">
        <f ca="1">IF(AND(OFFSET(家賃シミュレーションシート!$Q$16,F$13,0)&gt;=$B18,OFFSET(家賃シミュレーションシート!$Q$16,F$13,0)&lt;=$C18,OFFSET(家賃シミュレーションシート!$O$16,F$13,0)+OFFSET(家賃シミュレーションシート!$S$16,F$13,0)&lt;=10000000,OFFSET(家賃シミュレーションシート!$E$16,F$13,0)&lt;65),"●","-")</f>
        <v>-</v>
      </c>
      <c r="G18" s="3">
        <f ca="1">OFFSET(家賃シミュレーションシート!$Q$16,G$13,0)*0.85-685000</f>
        <v>-685000</v>
      </c>
      <c r="H18" s="23" t="str">
        <f ca="1">IF(AND(OFFSET(家賃シミュレーションシート!$Q$16,H$13,0)&gt;=$B18,OFFSET(家賃シミュレーションシート!$Q$16,H$13,0)&lt;=$C18,OFFSET(家賃シミュレーションシート!$O$16,H$13,0)+OFFSET(家賃シミュレーションシート!$S$16,H$13,0)&lt;=10000000,OFFSET(家賃シミュレーションシート!$E$16,H$13,0)&lt;65),"●","-")</f>
        <v>-</v>
      </c>
      <c r="I18" s="3">
        <f ca="1">OFFSET(家賃シミュレーションシート!$Q$16,I$13,0)*0.85-685000</f>
        <v>-685000</v>
      </c>
      <c r="J18" s="23" t="str">
        <f ca="1">IF(AND(OFFSET(家賃シミュレーションシート!$Q$16,J$13,0)&gt;=$B18,OFFSET(家賃シミュレーションシート!$Q$16,J$13,0)&lt;=$C18,OFFSET(家賃シミュレーションシート!$O$16,J$13,0)+OFFSET(家賃シミュレーションシート!$S$16,J$13,0)&lt;=10000000,OFFSET(家賃シミュレーションシート!$E$16,J$13,0)&lt;65),"●","-")</f>
        <v>-</v>
      </c>
      <c r="K18" s="3">
        <f ca="1">OFFSET(家賃シミュレーションシート!$Q$16,K$13,0)*0.85-685000</f>
        <v>-685000</v>
      </c>
      <c r="L18" s="23" t="str">
        <f ca="1">IF(AND(OFFSET(家賃シミュレーションシート!$Q$16,L$13,0)&gt;=$B18,OFFSET(家賃シミュレーションシート!$Q$16,L$13,0)&lt;=$C18,OFFSET(家賃シミュレーションシート!$O$16,L$13,0)+OFFSET(家賃シミュレーションシート!$S$16,L$13,0)&lt;=10000000,OFFSET(家賃シミュレーションシート!$E$16,L$13,0)&lt;65),"●","-")</f>
        <v>-</v>
      </c>
      <c r="M18" s="3">
        <f ca="1">OFFSET(家賃シミュレーションシート!$Q$16,M$13,0)*0.85-685000</f>
        <v>-685000</v>
      </c>
      <c r="N18" s="23" t="str">
        <f ca="1">IF(AND(OFFSET(家賃シミュレーションシート!$Q$16,N$13,0)&gt;=$B18,OFFSET(家賃シミュレーションシート!$Q$16,N$13,0)&lt;=$C18,OFFSET(家賃シミュレーションシート!$O$16,N$13,0)+OFFSET(家賃シミュレーションシート!$S$16,N$13,0)&lt;=10000000,OFFSET(家賃シミュレーションシート!$E$16,N$13,0)&lt;65),"●","-")</f>
        <v>-</v>
      </c>
      <c r="O18" s="3">
        <f ca="1">OFFSET(家賃シミュレーションシート!$Q$16,O$13,0)*0.85-685000</f>
        <v>-685000</v>
      </c>
      <c r="P18" s="23" t="str">
        <f ca="1">IF(AND(OFFSET(家賃シミュレーションシート!$Q$16,P$13,0)&gt;=$B18,OFFSET(家賃シミュレーションシート!$Q$16,P$13,0)&lt;=$C18,OFFSET(家賃シミュレーションシート!$O$16,P$13,0)+OFFSET(家賃シミュレーションシート!$S$16,P$13,0)&lt;=10000000,OFFSET(家賃シミュレーションシート!$E$16,P$13,0)&lt;65),"●","-")</f>
        <v>-</v>
      </c>
      <c r="Q18" s="3">
        <f ca="1">OFFSET(家賃シミュレーションシート!$Q$16,Q$13,0)*0.85-685000</f>
        <v>-685000</v>
      </c>
      <c r="R18" s="23" t="str">
        <f ca="1">IF(AND(OFFSET(家賃シミュレーションシート!$Q$16,R$13,0)&gt;=$B18,OFFSET(家賃シミュレーションシート!$Q$16,R$13,0)&lt;=$C18,OFFSET(家賃シミュレーションシート!$O$16,R$13,0)+OFFSET(家賃シミュレーションシート!$S$16,R$13,0)&lt;=10000000,OFFSET(家賃シミュレーションシート!$E$16,R$13,0)&lt;65),"●","-")</f>
        <v>-</v>
      </c>
      <c r="S18" s="3">
        <f ca="1">OFFSET(家賃シミュレーションシート!$Q$16,S$13,0)*0.85-685000</f>
        <v>-685000</v>
      </c>
      <c r="T18" s="23" t="str">
        <f ca="1">IF(AND(OFFSET(家賃シミュレーションシート!$Q$16,T$13,0)&gt;=$B18,OFFSET(家賃シミュレーションシート!$Q$16,T$13,0)&lt;=$C18,OFFSET(家賃シミュレーションシート!$O$16,T$13,0)+OFFSET(家賃シミュレーションシート!$S$16,T$13,0)&lt;=10000000,OFFSET(家賃シミュレーションシート!$E$16,T$13,0)&lt;65),"●","-")</f>
        <v>-</v>
      </c>
    </row>
    <row r="19" spans="1:20" ht="18" customHeight="1" x14ac:dyDescent="0.15">
      <c r="A19" s="18"/>
      <c r="B19" s="3">
        <v>7700000</v>
      </c>
      <c r="C19" s="3">
        <v>9999999</v>
      </c>
      <c r="D19" s="8" t="s">
        <v>15</v>
      </c>
      <c r="E19" s="3">
        <f ca="1">OFFSET(家賃シミュレーションシート!$Q$16,E$13,0)*0.95-1455000</f>
        <v>-1455000</v>
      </c>
      <c r="F19" s="23" t="str">
        <f ca="1">IF(AND(OFFSET(家賃シミュレーションシート!$Q$16,F$13,0)&gt;=$B19,OFFSET(家賃シミュレーションシート!$Q$16,F$13,0)&lt;=$C19,OFFSET(家賃シミュレーションシート!$O$16,F$13,0)+OFFSET(家賃シミュレーションシート!$S$16,F$13,0)&lt;=10000000,OFFSET(家賃シミュレーションシート!$E$16,F$13,0)&lt;65),"●","-")</f>
        <v>-</v>
      </c>
      <c r="G19" s="3">
        <f ca="1">OFFSET(家賃シミュレーションシート!$Q$16,G$13,0)*0.95-1455000</f>
        <v>-1455000</v>
      </c>
      <c r="H19" s="23" t="str">
        <f ca="1">IF(AND(OFFSET(家賃シミュレーションシート!$Q$16,H$13,0)&gt;=$B19,OFFSET(家賃シミュレーションシート!$Q$16,H$13,0)&lt;=$C19,OFFSET(家賃シミュレーションシート!$O$16,H$13,0)+OFFSET(家賃シミュレーションシート!$S$16,H$13,0)&lt;=10000000,OFFSET(家賃シミュレーションシート!$E$16,H$13,0)&lt;65),"●","-")</f>
        <v>-</v>
      </c>
      <c r="I19" s="3">
        <f ca="1">OFFSET(家賃シミュレーションシート!$Q$16,I$13,0)*0.95-1455000</f>
        <v>-1455000</v>
      </c>
      <c r="J19" s="23" t="str">
        <f ca="1">IF(AND(OFFSET(家賃シミュレーションシート!$Q$16,J$13,0)&gt;=$B19,OFFSET(家賃シミュレーションシート!$Q$16,J$13,0)&lt;=$C19,OFFSET(家賃シミュレーションシート!$O$16,J$13,0)+OFFSET(家賃シミュレーションシート!$S$16,J$13,0)&lt;=10000000,OFFSET(家賃シミュレーションシート!$E$16,J$13,0)&lt;65),"●","-")</f>
        <v>-</v>
      </c>
      <c r="K19" s="3">
        <f ca="1">OFFSET(家賃シミュレーションシート!$Q$16,K$13,0)*0.95-1455000</f>
        <v>-1455000</v>
      </c>
      <c r="L19" s="23" t="str">
        <f ca="1">IF(AND(OFFSET(家賃シミュレーションシート!$Q$16,L$13,0)&gt;=$B19,OFFSET(家賃シミュレーションシート!$Q$16,L$13,0)&lt;=$C19,OFFSET(家賃シミュレーションシート!$O$16,L$13,0)+OFFSET(家賃シミュレーションシート!$S$16,L$13,0)&lt;=10000000,OFFSET(家賃シミュレーションシート!$E$16,L$13,0)&lt;65),"●","-")</f>
        <v>-</v>
      </c>
      <c r="M19" s="3">
        <f ca="1">OFFSET(家賃シミュレーションシート!$Q$16,M$13,0)*0.95-1455000</f>
        <v>-1455000</v>
      </c>
      <c r="N19" s="23" t="str">
        <f ca="1">IF(AND(OFFSET(家賃シミュレーションシート!$Q$16,N$13,0)&gt;=$B19,OFFSET(家賃シミュレーションシート!$Q$16,N$13,0)&lt;=$C19,OFFSET(家賃シミュレーションシート!$O$16,N$13,0)+OFFSET(家賃シミュレーションシート!$S$16,N$13,0)&lt;=10000000,OFFSET(家賃シミュレーションシート!$E$16,N$13,0)&lt;65),"●","-")</f>
        <v>-</v>
      </c>
      <c r="O19" s="3">
        <f ca="1">OFFSET(家賃シミュレーションシート!$Q$16,O$13,0)*0.95-1455000</f>
        <v>-1455000</v>
      </c>
      <c r="P19" s="23" t="str">
        <f ca="1">IF(AND(OFFSET(家賃シミュレーションシート!$Q$16,P$13,0)&gt;=$B19,OFFSET(家賃シミュレーションシート!$Q$16,P$13,0)&lt;=$C19,OFFSET(家賃シミュレーションシート!$O$16,P$13,0)+OFFSET(家賃シミュレーションシート!$S$16,P$13,0)&lt;=10000000,OFFSET(家賃シミュレーションシート!$E$16,P$13,0)&lt;65),"●","-")</f>
        <v>-</v>
      </c>
      <c r="Q19" s="3">
        <f ca="1">OFFSET(家賃シミュレーションシート!$Q$16,Q$13,0)*0.95-1455000</f>
        <v>-1455000</v>
      </c>
      <c r="R19" s="23" t="str">
        <f ca="1">IF(AND(OFFSET(家賃シミュレーションシート!$Q$16,R$13,0)&gt;=$B19,OFFSET(家賃シミュレーションシート!$Q$16,R$13,0)&lt;=$C19,OFFSET(家賃シミュレーションシート!$O$16,R$13,0)+OFFSET(家賃シミュレーションシート!$S$16,R$13,0)&lt;=10000000,OFFSET(家賃シミュレーションシート!$E$16,R$13,0)&lt;65),"●","-")</f>
        <v>-</v>
      </c>
      <c r="S19" s="3">
        <f ca="1">OFFSET(家賃シミュレーションシート!$Q$16,S$13,0)*0.95-1455000</f>
        <v>-1455000</v>
      </c>
      <c r="T19" s="23" t="str">
        <f ca="1">IF(AND(OFFSET(家賃シミュレーションシート!$Q$16,T$13,0)&gt;=$B19,OFFSET(家賃シミュレーションシート!$Q$16,T$13,0)&lt;=$C19,OFFSET(家賃シミュレーションシート!$O$16,T$13,0)+OFFSET(家賃シミュレーションシート!$S$16,T$13,0)&lt;=10000000,OFFSET(家賃シミュレーションシート!$E$16,T$13,0)&lt;65),"●","-")</f>
        <v>-</v>
      </c>
    </row>
    <row r="20" spans="1:20" ht="18" customHeight="1" x14ac:dyDescent="0.15">
      <c r="A20" s="18"/>
      <c r="B20" s="3">
        <v>10000000</v>
      </c>
      <c r="C20" s="3"/>
      <c r="D20" s="8" t="s">
        <v>16</v>
      </c>
      <c r="E20" s="3">
        <f ca="1">OFFSET(家賃シミュレーションシート!$Q$16,E$13,0)-1955000</f>
        <v>-1955000</v>
      </c>
      <c r="F20" s="23" t="str">
        <f ca="1">IF(AND(OFFSET(家賃シミュレーションシート!$Q$16,F$13,0)&gt;=$B20,OFFSET(家賃シミュレーションシート!$O$16,F$13,0)+OFFSET(家賃シミュレーションシート!$S$16,F$13,0)&lt;=10000000,OFFSET(家賃シミュレーションシート!$E$16,F$13,0)&lt;65),"●","-")</f>
        <v>-</v>
      </c>
      <c r="G20" s="3">
        <f ca="1">OFFSET(家賃シミュレーションシート!$Q$16,G$13,0)-1955000</f>
        <v>-1955000</v>
      </c>
      <c r="H20" s="23" t="str">
        <f ca="1">IF(AND(OFFSET(家賃シミュレーションシート!$Q$16,H$13,0)&gt;=$B20,OFFSET(家賃シミュレーションシート!$O$16,H$13,0)+OFFSET(家賃シミュレーションシート!$S$16,H$13,0)&lt;=10000000,OFFSET(家賃シミュレーションシート!$E$16,H$13,0)&lt;65),"●","-")</f>
        <v>-</v>
      </c>
      <c r="I20" s="3">
        <f ca="1">OFFSET(家賃シミュレーションシート!$Q$16,I$13,0)-1955000</f>
        <v>-1955000</v>
      </c>
      <c r="J20" s="23" t="str">
        <f ca="1">IF(AND(OFFSET(家賃シミュレーションシート!$Q$16,J$13,0)&gt;=$B20,OFFSET(家賃シミュレーションシート!$O$16,J$13,0)+OFFSET(家賃シミュレーションシート!$S$16,J$13,0)&lt;=10000000,OFFSET(家賃シミュレーションシート!$E$16,J$13,0)&lt;65),"●","-")</f>
        <v>-</v>
      </c>
      <c r="K20" s="3">
        <f ca="1">OFFSET(家賃シミュレーションシート!$Q$16,K$13,0)-1955000</f>
        <v>-1955000</v>
      </c>
      <c r="L20" s="23" t="str">
        <f ca="1">IF(AND(OFFSET(家賃シミュレーションシート!$Q$16,L$13,0)&gt;=$B20,OFFSET(家賃シミュレーションシート!$O$16,L$13,0)+OFFSET(家賃シミュレーションシート!$S$16,L$13,0)&lt;=10000000,OFFSET(家賃シミュレーションシート!$E$16,L$13,0)&lt;65),"●","-")</f>
        <v>-</v>
      </c>
      <c r="M20" s="3">
        <f ca="1">OFFSET(家賃シミュレーションシート!$Q$16,M$13,0)-1955000</f>
        <v>-1955000</v>
      </c>
      <c r="N20" s="23" t="str">
        <f ca="1">IF(AND(OFFSET(家賃シミュレーションシート!$Q$16,N$13,0)&gt;=$B20,OFFSET(家賃シミュレーションシート!$O$16,N$13,0)+OFFSET(家賃シミュレーションシート!$S$16,N$13,0)&lt;=10000000,OFFSET(家賃シミュレーションシート!$E$16,N$13,0)&lt;65),"●","-")</f>
        <v>-</v>
      </c>
      <c r="O20" s="3">
        <f ca="1">OFFSET(家賃シミュレーションシート!$Q$16,O$13,0)-1955000</f>
        <v>-1955000</v>
      </c>
      <c r="P20" s="23" t="str">
        <f ca="1">IF(AND(OFFSET(家賃シミュレーションシート!$Q$16,P$13,0)&gt;=$B20,OFFSET(家賃シミュレーションシート!$O$16,P$13,0)+OFFSET(家賃シミュレーションシート!$S$16,P$13,0)&lt;=10000000,OFFSET(家賃シミュレーションシート!$E$16,P$13,0)&lt;65),"●","-")</f>
        <v>-</v>
      </c>
      <c r="Q20" s="3">
        <f ca="1">OFFSET(家賃シミュレーションシート!$Q$16,Q$13,0)-1955000</f>
        <v>-1955000</v>
      </c>
      <c r="R20" s="23" t="str">
        <f ca="1">IF(AND(OFFSET(家賃シミュレーションシート!$Q$16,R$13,0)&gt;=$B20,OFFSET(家賃シミュレーションシート!$O$16,R$13,0)+OFFSET(家賃シミュレーションシート!$S$16,R$13,0)&lt;=10000000,OFFSET(家賃シミュレーションシート!$E$16,R$13,0)&lt;65),"●","-")</f>
        <v>-</v>
      </c>
      <c r="S20" s="3">
        <f ca="1">OFFSET(家賃シミュレーションシート!$Q$16,S$13,0)-1955000</f>
        <v>-1955000</v>
      </c>
      <c r="T20" s="23" t="str">
        <f ca="1">IF(AND(OFFSET(家賃シミュレーションシート!$Q$16,T$13,0)&gt;=$B20,OFFSET(家賃シミュレーションシート!$O$16,T$13,0)+OFFSET(家賃シミュレーションシート!$S$16,T$13,0)&lt;=10000000,OFFSET(家賃シミュレーションシート!$E$16,T$13,0)&lt;65),"●","-")</f>
        <v>-</v>
      </c>
    </row>
    <row r="21" spans="1:20" ht="18" customHeight="1" x14ac:dyDescent="0.15">
      <c r="A21" s="18"/>
      <c r="B21" s="1" t="s">
        <v>17</v>
      </c>
    </row>
    <row r="22" spans="1:20" ht="18" customHeight="1" x14ac:dyDescent="0.15">
      <c r="A22" s="18"/>
      <c r="B22" s="11" t="s">
        <v>10</v>
      </c>
      <c r="C22" s="11"/>
      <c r="D22" s="15" t="s">
        <v>11</v>
      </c>
      <c r="E22" s="2">
        <v>0</v>
      </c>
      <c r="F22" s="2">
        <v>0</v>
      </c>
      <c r="G22" s="2">
        <v>2</v>
      </c>
      <c r="H22" s="2">
        <v>2</v>
      </c>
      <c r="I22" s="2">
        <v>4</v>
      </c>
      <c r="J22" s="2">
        <v>4</v>
      </c>
      <c r="K22" s="2">
        <v>6</v>
      </c>
      <c r="L22" s="2">
        <v>6</v>
      </c>
      <c r="M22" s="2">
        <v>8</v>
      </c>
      <c r="N22" s="2">
        <v>8</v>
      </c>
      <c r="O22" s="2">
        <v>10</v>
      </c>
      <c r="P22" s="2">
        <v>10</v>
      </c>
      <c r="Q22" s="2">
        <v>12</v>
      </c>
      <c r="R22" s="2">
        <v>12</v>
      </c>
      <c r="S22" s="2">
        <v>14</v>
      </c>
      <c r="T22" s="2">
        <v>14</v>
      </c>
    </row>
    <row r="23" spans="1:20" ht="18" customHeight="1" x14ac:dyDescent="0.15">
      <c r="A23" s="18"/>
      <c r="B23" s="13" t="s">
        <v>2</v>
      </c>
      <c r="C23" s="13" t="s">
        <v>3</v>
      </c>
      <c r="D23" s="14" t="s">
        <v>4</v>
      </c>
      <c r="E23" s="22" t="s">
        <v>45</v>
      </c>
      <c r="F23" s="22"/>
      <c r="G23" s="22" t="s">
        <v>38</v>
      </c>
      <c r="H23" s="22"/>
      <c r="I23" s="22" t="s">
        <v>39</v>
      </c>
      <c r="J23" s="22"/>
      <c r="K23" s="22" t="s">
        <v>40</v>
      </c>
      <c r="L23" s="22"/>
      <c r="M23" s="22" t="s">
        <v>41</v>
      </c>
      <c r="N23" s="22"/>
      <c r="O23" s="22" t="s">
        <v>42</v>
      </c>
      <c r="P23" s="22"/>
      <c r="Q23" s="22" t="s">
        <v>467</v>
      </c>
      <c r="R23" s="22"/>
      <c r="S23" s="22" t="s">
        <v>468</v>
      </c>
      <c r="T23" s="22"/>
    </row>
    <row r="24" spans="1:20" ht="18" customHeight="1" x14ac:dyDescent="0.15">
      <c r="A24" s="18"/>
      <c r="B24" s="3"/>
      <c r="C24" s="3">
        <v>1100000</v>
      </c>
      <c r="D24" s="8">
        <v>0</v>
      </c>
      <c r="E24" s="3">
        <v>0</v>
      </c>
      <c r="F24" s="23" t="str">
        <f ca="1">IF(AND(OFFSET(家賃シミュレーションシート!$Q$16,F$22,0)&lt;=$C24,OFFSET(家賃シミュレーションシート!$O$16,F$22,0)+OFFSET(家賃シミュレーションシート!$S$16,F$22,0)&lt;=10000000,OFFSET(家賃シミュレーションシート!$E$16,F$22,0)&gt;=65),"●","-")</f>
        <v>-</v>
      </c>
      <c r="G24" s="3">
        <v>0</v>
      </c>
      <c r="H24" s="23" t="str">
        <f ca="1">IF(AND(OFFSET(家賃シミュレーションシート!$Q$16,H$22,0)&lt;=$C24,OFFSET(家賃シミュレーションシート!$O$16,H$22,0)+OFFSET(家賃シミュレーションシート!$S$16,H$22,0)&lt;=10000000,OFFSET(家賃シミュレーションシート!$E$16,H$22,0)&gt;=65),"●","-")</f>
        <v>-</v>
      </c>
      <c r="I24" s="3">
        <v>0</v>
      </c>
      <c r="J24" s="23" t="str">
        <f ca="1">IF(AND(OFFSET(家賃シミュレーションシート!$Q$16,J$22,0)&lt;=$C24,OFFSET(家賃シミュレーションシート!$O$16,J$22,0)+OFFSET(家賃シミュレーションシート!$S$16,J$22,0)&lt;=10000000,OFFSET(家賃シミュレーションシート!$E$16,J$22,0)&gt;=65),"●","-")</f>
        <v>-</v>
      </c>
      <c r="K24" s="3">
        <v>0</v>
      </c>
      <c r="L24" s="23" t="str">
        <f ca="1">IF(AND(OFFSET(家賃シミュレーションシート!$Q$16,L$22,0)&lt;=$C24,OFFSET(家賃シミュレーションシート!$O$16,L$22,0)+OFFSET(家賃シミュレーションシート!$S$16,L$22,0)&lt;=10000000,OFFSET(家賃シミュレーションシート!$E$16,L$22,0)&gt;=65),"●","-")</f>
        <v>-</v>
      </c>
      <c r="M24" s="3">
        <v>0</v>
      </c>
      <c r="N24" s="23" t="str">
        <f ca="1">IF(AND(OFFSET(家賃シミュレーションシート!$Q$16,N$22,0)&lt;=$C24,OFFSET(家賃シミュレーションシート!$O$16,N$22,0)+OFFSET(家賃シミュレーションシート!$S$16,N$22,0)&lt;=10000000,OFFSET(家賃シミュレーションシート!$E$16,N$22,0)&gt;=65),"●","-")</f>
        <v>-</v>
      </c>
      <c r="O24" s="3">
        <v>0</v>
      </c>
      <c r="P24" s="23" t="str">
        <f ca="1">IF(AND(OFFSET(家賃シミュレーションシート!$Q$16,P$22,0)&lt;=$C24,OFFSET(家賃シミュレーションシート!$O$16,P$22,0)+OFFSET(家賃シミュレーションシート!$S$16,P$22,0)&lt;=10000000,OFFSET(家賃シミュレーションシート!$E$16,P$22,0)&gt;=65),"●","-")</f>
        <v>-</v>
      </c>
      <c r="Q24" s="3">
        <v>0</v>
      </c>
      <c r="R24" s="23" t="str">
        <f ca="1">IF(AND(OFFSET(家賃シミュレーションシート!$Q$16,R$22,0)&lt;=$C24,OFFSET(家賃シミュレーションシート!$O$16,R$22,0)+OFFSET(家賃シミュレーションシート!$S$16,R$22,0)&lt;=10000000,OFFSET(家賃シミュレーションシート!$E$16,R$22,0)&gt;=65),"●","-")</f>
        <v>-</v>
      </c>
      <c r="S24" s="3">
        <v>0</v>
      </c>
      <c r="T24" s="23" t="str">
        <f ca="1">IF(AND(OFFSET(家賃シミュレーションシート!$Q$16,T$22,0)&lt;=$C24,OFFSET(家賃シミュレーションシート!$O$16,T$22,0)+OFFSET(家賃シミュレーションシート!$S$16,T$22,0)&lt;=10000000,OFFSET(家賃シミュレーションシート!$E$16,T$22,0)&gt;=65),"●","-")</f>
        <v>-</v>
      </c>
    </row>
    <row r="25" spans="1:20" ht="18" customHeight="1" x14ac:dyDescent="0.15">
      <c r="A25" s="18"/>
      <c r="B25" s="3">
        <v>1100001</v>
      </c>
      <c r="C25" s="3">
        <v>3299999</v>
      </c>
      <c r="D25" s="8" t="s">
        <v>18</v>
      </c>
      <c r="E25" s="3">
        <f ca="1">OFFSET(家賃シミュレーションシート!$Q$16,E$22,0)-1100000</f>
        <v>-1100000</v>
      </c>
      <c r="F25" s="23" t="str">
        <f ca="1">IF(AND(OFFSET(家賃シミュレーションシート!$Q$16,F$22,0)&gt;=$B25,OFFSET(家賃シミュレーションシート!$Q$16,F$22,0)&lt;=$C25,OFFSET(家賃シミュレーションシート!$O$16,F$22,0)+OFFSET(家賃シミュレーションシート!$S$16,F$22,0)&lt;=10000000,OFFSET(家賃シミュレーションシート!$E$16,F$22,0)&gt;=65),"●","-")</f>
        <v>-</v>
      </c>
      <c r="G25" s="3">
        <f ca="1">OFFSET(家賃シミュレーションシート!$Q$16,G$13,0)-600000</f>
        <v>-600000</v>
      </c>
      <c r="H25" s="23" t="str">
        <f ca="1">IF(AND(OFFSET(家賃シミュレーションシート!$Q$16,H$22,0)&gt;=$B25,OFFSET(家賃シミュレーションシート!$Q$16,H$22,0)&lt;=$C25,OFFSET(家賃シミュレーションシート!$O$16,H$22,0)+OFFSET(家賃シミュレーションシート!$S$16,H$22,0)&lt;=10000000,OFFSET(家賃シミュレーションシート!$E$16,H$22,0)&gt;=65),"●","-")</f>
        <v>-</v>
      </c>
      <c r="I25" s="3">
        <f ca="1">OFFSET(家賃シミュレーションシート!$Q$16,I$13,0)-600000</f>
        <v>-600000</v>
      </c>
      <c r="J25" s="23" t="str">
        <f ca="1">IF(AND(OFFSET(家賃シミュレーションシート!$Q$16,J$22,0)&gt;=$B25,OFFSET(家賃シミュレーションシート!$Q$16,J$22,0)&lt;=$C25,OFFSET(家賃シミュレーションシート!$O$16,J$22,0)+OFFSET(家賃シミュレーションシート!$S$16,J$22,0)&lt;=10000000,OFFSET(家賃シミュレーションシート!$E$16,J$22,0)&gt;=65),"●","-")</f>
        <v>-</v>
      </c>
      <c r="K25" s="3">
        <f ca="1">OFFSET(家賃シミュレーションシート!$Q$16,K$13,0)-600000</f>
        <v>-600000</v>
      </c>
      <c r="L25" s="23" t="str">
        <f ca="1">IF(AND(OFFSET(家賃シミュレーションシート!$Q$16,L$22,0)&gt;=$B25,OFFSET(家賃シミュレーションシート!$Q$16,L$22,0)&lt;=$C25,OFFSET(家賃シミュレーションシート!$O$16,L$22,0)+OFFSET(家賃シミュレーションシート!$S$16,L$22,0)&lt;=10000000,OFFSET(家賃シミュレーションシート!$E$16,L$22,0)&gt;=65),"●","-")</f>
        <v>-</v>
      </c>
      <c r="M25" s="3">
        <f ca="1">OFFSET(家賃シミュレーションシート!$Q$16,M$13,0)-600000</f>
        <v>-600000</v>
      </c>
      <c r="N25" s="23" t="str">
        <f ca="1">IF(AND(OFFSET(家賃シミュレーションシート!$Q$16,N$22,0)&gt;=$B25,OFFSET(家賃シミュレーションシート!$Q$16,N$22,0)&lt;=$C25,OFFSET(家賃シミュレーションシート!$O$16,N$22,0)+OFFSET(家賃シミュレーションシート!$S$16,N$22,0)&lt;=10000000,OFFSET(家賃シミュレーションシート!$E$16,N$22,0)&gt;=65),"●","-")</f>
        <v>-</v>
      </c>
      <c r="O25" s="3">
        <f ca="1">OFFSET(家賃シミュレーションシート!$Q$16,O$13,0)-600000</f>
        <v>-600000</v>
      </c>
      <c r="P25" s="23" t="str">
        <f ca="1">IF(AND(OFFSET(家賃シミュレーションシート!$Q$16,P$22,0)&gt;=$B25,OFFSET(家賃シミュレーションシート!$Q$16,P$22,0)&lt;=$C25,OFFSET(家賃シミュレーションシート!$O$16,P$22,0)+OFFSET(家賃シミュレーションシート!$S$16,P$22,0)&lt;=10000000,OFFSET(家賃シミュレーションシート!$E$16,P$22,0)&gt;=65),"●","-")</f>
        <v>-</v>
      </c>
      <c r="Q25" s="3">
        <f ca="1">OFFSET(家賃シミュレーションシート!$Q$16,Q$13,0)-600000</f>
        <v>-600000</v>
      </c>
      <c r="R25" s="23" t="str">
        <f ca="1">IF(AND(OFFSET(家賃シミュレーションシート!$Q$16,R$22,0)&gt;=$B25,OFFSET(家賃シミュレーションシート!$Q$16,R$22,0)&lt;=$C25,OFFSET(家賃シミュレーションシート!$O$16,R$22,0)+OFFSET(家賃シミュレーションシート!$S$16,R$22,0)&lt;=10000000,OFFSET(家賃シミュレーションシート!$E$16,R$22,0)&gt;=65),"●","-")</f>
        <v>-</v>
      </c>
      <c r="S25" s="3">
        <f ca="1">OFFSET(家賃シミュレーションシート!$Q$16,S$13,0)-600000</f>
        <v>-600000</v>
      </c>
      <c r="T25" s="23" t="str">
        <f ca="1">IF(AND(OFFSET(家賃シミュレーションシート!$Q$16,T$22,0)&gt;=$B25,OFFSET(家賃シミュレーションシート!$Q$16,T$22,0)&lt;=$C25,OFFSET(家賃シミュレーションシート!$O$16,T$22,0)+OFFSET(家賃シミュレーションシート!$S$16,T$22,0)&lt;=10000000,OFFSET(家賃シミュレーションシート!$E$16,T$22,0)&gt;=65),"●","-")</f>
        <v>-</v>
      </c>
    </row>
    <row r="26" spans="1:20" ht="18" customHeight="1" x14ac:dyDescent="0.15">
      <c r="A26" s="18"/>
      <c r="B26" s="3">
        <v>3300000</v>
      </c>
      <c r="C26" s="3">
        <v>4099999</v>
      </c>
      <c r="D26" s="8" t="s">
        <v>13</v>
      </c>
      <c r="E26" s="3">
        <f ca="1">OFFSET(家賃シミュレーションシート!$Q$16,E$22,0)*0.75-275000</f>
        <v>-275000</v>
      </c>
      <c r="F26" s="23" t="str">
        <f ca="1">IF(AND(OFFSET(家賃シミュレーションシート!$Q$16,F$22,0)&gt;=$B26,OFFSET(家賃シミュレーションシート!$Q$16,F$22,0)&lt;=$C26,OFFSET(家賃シミュレーションシート!$O$16,F$22,0)+OFFSET(家賃シミュレーションシート!$S$16,F$22,0)&lt;=10000000,OFFSET(家賃シミュレーションシート!$E$16,F$22,0)&gt;=65),"●","-")</f>
        <v>-</v>
      </c>
      <c r="G26" s="3">
        <f ca="1">OFFSET(家賃シミュレーションシート!$Q$16,G$13,0)*0.75-275000</f>
        <v>-275000</v>
      </c>
      <c r="H26" s="23" t="str">
        <f ca="1">IF(AND(OFFSET(家賃シミュレーションシート!$Q$16,H$22,0)&gt;=$B26,OFFSET(家賃シミュレーションシート!$Q$16,H$22,0)&lt;=$C26,OFFSET(家賃シミュレーションシート!$O$16,H$22,0)+OFFSET(家賃シミュレーションシート!$S$16,H$22,0)&lt;=10000000,OFFSET(家賃シミュレーションシート!$E$16,H$22,0)&gt;=65),"●","-")</f>
        <v>-</v>
      </c>
      <c r="I26" s="3">
        <f ca="1">OFFSET(家賃シミュレーションシート!$Q$16,I$13,0)*0.75-275000</f>
        <v>-275000</v>
      </c>
      <c r="J26" s="23" t="str">
        <f ca="1">IF(AND(OFFSET(家賃シミュレーションシート!$Q$16,J$22,0)&gt;=$B26,OFFSET(家賃シミュレーションシート!$Q$16,J$22,0)&lt;=$C26,OFFSET(家賃シミュレーションシート!$O$16,J$22,0)+OFFSET(家賃シミュレーションシート!$S$16,J$22,0)&lt;=10000000,OFFSET(家賃シミュレーションシート!$E$16,J$22,0)&gt;=65),"●","-")</f>
        <v>-</v>
      </c>
      <c r="K26" s="3">
        <f ca="1">OFFSET(家賃シミュレーションシート!$Q$16,K$13,0)*0.75-275000</f>
        <v>-275000</v>
      </c>
      <c r="L26" s="23" t="str">
        <f ca="1">IF(AND(OFFSET(家賃シミュレーションシート!$Q$16,L$22,0)&gt;=$B26,OFFSET(家賃シミュレーションシート!$Q$16,L$22,0)&lt;=$C26,OFFSET(家賃シミュレーションシート!$O$16,L$22,0)+OFFSET(家賃シミュレーションシート!$S$16,L$22,0)&lt;=10000000,OFFSET(家賃シミュレーションシート!$E$16,L$22,0)&gt;=65),"●","-")</f>
        <v>-</v>
      </c>
      <c r="M26" s="3">
        <f ca="1">OFFSET(家賃シミュレーションシート!$Q$16,M$13,0)*0.75-275000</f>
        <v>-275000</v>
      </c>
      <c r="N26" s="23" t="str">
        <f ca="1">IF(AND(OFFSET(家賃シミュレーションシート!$Q$16,N$22,0)&gt;=$B26,OFFSET(家賃シミュレーションシート!$Q$16,N$22,0)&lt;=$C26,OFFSET(家賃シミュレーションシート!$O$16,N$22,0)+OFFSET(家賃シミュレーションシート!$S$16,N$22,0)&lt;=10000000,OFFSET(家賃シミュレーションシート!$E$16,N$22,0)&gt;=65),"●","-")</f>
        <v>-</v>
      </c>
      <c r="O26" s="3">
        <f ca="1">OFFSET(家賃シミュレーションシート!$Q$16,O$13,0)*0.75-275000</f>
        <v>-275000</v>
      </c>
      <c r="P26" s="23" t="str">
        <f ca="1">IF(AND(OFFSET(家賃シミュレーションシート!$Q$16,P$22,0)&gt;=$B26,OFFSET(家賃シミュレーションシート!$Q$16,P$22,0)&lt;=$C26,OFFSET(家賃シミュレーションシート!$O$16,P$22,0)+OFFSET(家賃シミュレーションシート!$S$16,P$22,0)&lt;=10000000,OFFSET(家賃シミュレーションシート!$E$16,P$22,0)&gt;=65),"●","-")</f>
        <v>-</v>
      </c>
      <c r="Q26" s="3">
        <f ca="1">OFFSET(家賃シミュレーションシート!$Q$16,Q$13,0)*0.75-275000</f>
        <v>-275000</v>
      </c>
      <c r="R26" s="23" t="str">
        <f ca="1">IF(AND(OFFSET(家賃シミュレーションシート!$Q$16,R$22,0)&gt;=$B26,OFFSET(家賃シミュレーションシート!$Q$16,R$22,0)&lt;=$C26,OFFSET(家賃シミュレーションシート!$O$16,R$22,0)+OFFSET(家賃シミュレーションシート!$S$16,R$22,0)&lt;=10000000,OFFSET(家賃シミュレーションシート!$E$16,R$22,0)&gt;=65),"●","-")</f>
        <v>-</v>
      </c>
      <c r="S26" s="3">
        <f ca="1">OFFSET(家賃シミュレーションシート!$Q$16,S$13,0)*0.75-275000</f>
        <v>-275000</v>
      </c>
      <c r="T26" s="23" t="str">
        <f ca="1">IF(AND(OFFSET(家賃シミュレーションシート!$Q$16,T$22,0)&gt;=$B26,OFFSET(家賃シミュレーションシート!$Q$16,T$22,0)&lt;=$C26,OFFSET(家賃シミュレーションシート!$O$16,T$22,0)+OFFSET(家賃シミュレーションシート!$S$16,T$22,0)&lt;=10000000,OFFSET(家賃シミュレーションシート!$E$16,T$22,0)&gt;=65),"●","-")</f>
        <v>-</v>
      </c>
    </row>
    <row r="27" spans="1:20" ht="18" customHeight="1" x14ac:dyDescent="0.15">
      <c r="A27" s="18"/>
      <c r="B27" s="3">
        <v>4100000</v>
      </c>
      <c r="C27" s="3">
        <v>7699999</v>
      </c>
      <c r="D27" s="8" t="s">
        <v>14</v>
      </c>
      <c r="E27" s="3">
        <f ca="1">OFFSET(家賃シミュレーションシート!$Q$16,E$22,0)*0.85-685000</f>
        <v>-685000</v>
      </c>
      <c r="F27" s="23" t="str">
        <f ca="1">IF(AND(OFFSET(家賃シミュレーションシート!$Q$16,F$22,0)&gt;=$B27,OFFSET(家賃シミュレーションシート!$Q$16,F$22,0)&lt;=$C27,OFFSET(家賃シミュレーションシート!$O$16,F$22,0)+OFFSET(家賃シミュレーションシート!$S$16,F$22,0)&lt;=10000000,OFFSET(家賃シミュレーションシート!$E$16,F$22,0)&gt;=65),"●","-")</f>
        <v>-</v>
      </c>
      <c r="G27" s="3">
        <f ca="1">OFFSET(家賃シミュレーションシート!$Q$16,G$13,0)*0.85-685000</f>
        <v>-685000</v>
      </c>
      <c r="H27" s="23" t="str">
        <f ca="1">IF(AND(OFFSET(家賃シミュレーションシート!$Q$16,H$22,0)&gt;=$B27,OFFSET(家賃シミュレーションシート!$Q$16,H$22,0)&lt;=$C27,OFFSET(家賃シミュレーションシート!$O$16,H$22,0)+OFFSET(家賃シミュレーションシート!$S$16,H$22,0)&lt;=10000000,OFFSET(家賃シミュレーションシート!$E$16,H$22,0)&gt;=65),"●","-")</f>
        <v>-</v>
      </c>
      <c r="I27" s="3">
        <f ca="1">OFFSET(家賃シミュレーションシート!$Q$16,I$13,0)*0.85-685000</f>
        <v>-685000</v>
      </c>
      <c r="J27" s="23" t="str">
        <f ca="1">IF(AND(OFFSET(家賃シミュレーションシート!$Q$16,J$22,0)&gt;=$B27,OFFSET(家賃シミュレーションシート!$Q$16,J$22,0)&lt;=$C27,OFFSET(家賃シミュレーションシート!$O$16,J$22,0)+OFFSET(家賃シミュレーションシート!$S$16,J$22,0)&lt;=10000000,OFFSET(家賃シミュレーションシート!$E$16,J$22,0)&gt;=65),"●","-")</f>
        <v>-</v>
      </c>
      <c r="K27" s="3">
        <f ca="1">OFFSET(家賃シミュレーションシート!$Q$16,K$13,0)*0.85-685000</f>
        <v>-685000</v>
      </c>
      <c r="L27" s="23" t="str">
        <f ca="1">IF(AND(OFFSET(家賃シミュレーションシート!$Q$16,L$22,0)&gt;=$B27,OFFSET(家賃シミュレーションシート!$Q$16,L$22,0)&lt;=$C27,OFFSET(家賃シミュレーションシート!$O$16,L$22,0)+OFFSET(家賃シミュレーションシート!$S$16,L$22,0)&lt;=10000000,OFFSET(家賃シミュレーションシート!$E$16,L$22,0)&gt;=65),"●","-")</f>
        <v>-</v>
      </c>
      <c r="M27" s="3">
        <f ca="1">OFFSET(家賃シミュレーションシート!$Q$16,M$13,0)*0.85-685000</f>
        <v>-685000</v>
      </c>
      <c r="N27" s="23" t="str">
        <f ca="1">IF(AND(OFFSET(家賃シミュレーションシート!$Q$16,N$22,0)&gt;=$B27,OFFSET(家賃シミュレーションシート!$Q$16,N$22,0)&lt;=$C27,OFFSET(家賃シミュレーションシート!$O$16,N$22,0)+OFFSET(家賃シミュレーションシート!$S$16,N$22,0)&lt;=10000000,OFFSET(家賃シミュレーションシート!$E$16,N$22,0)&gt;=65),"●","-")</f>
        <v>-</v>
      </c>
      <c r="O27" s="3">
        <f ca="1">OFFSET(家賃シミュレーションシート!$Q$16,O$13,0)*0.85-685000</f>
        <v>-685000</v>
      </c>
      <c r="P27" s="23" t="str">
        <f ca="1">IF(AND(OFFSET(家賃シミュレーションシート!$Q$16,P$22,0)&gt;=$B27,OFFSET(家賃シミュレーションシート!$Q$16,P$22,0)&lt;=$C27,OFFSET(家賃シミュレーションシート!$O$16,P$22,0)+OFFSET(家賃シミュレーションシート!$S$16,P$22,0)&lt;=10000000,OFFSET(家賃シミュレーションシート!$E$16,P$22,0)&gt;=65),"●","-")</f>
        <v>-</v>
      </c>
      <c r="Q27" s="3">
        <f ca="1">OFFSET(家賃シミュレーションシート!$Q$16,Q$13,0)*0.85-685000</f>
        <v>-685000</v>
      </c>
      <c r="R27" s="23" t="str">
        <f ca="1">IF(AND(OFFSET(家賃シミュレーションシート!$Q$16,R$22,0)&gt;=$B27,OFFSET(家賃シミュレーションシート!$Q$16,R$22,0)&lt;=$C27,OFFSET(家賃シミュレーションシート!$O$16,R$22,0)+OFFSET(家賃シミュレーションシート!$S$16,R$22,0)&lt;=10000000,OFFSET(家賃シミュレーションシート!$E$16,R$22,0)&gt;=65),"●","-")</f>
        <v>-</v>
      </c>
      <c r="S27" s="3">
        <f ca="1">OFFSET(家賃シミュレーションシート!$Q$16,S$13,0)*0.85-685000</f>
        <v>-685000</v>
      </c>
      <c r="T27" s="23" t="str">
        <f ca="1">IF(AND(OFFSET(家賃シミュレーションシート!$Q$16,T$22,0)&gt;=$B27,OFFSET(家賃シミュレーションシート!$Q$16,T$22,0)&lt;=$C27,OFFSET(家賃シミュレーションシート!$O$16,T$22,0)+OFFSET(家賃シミュレーションシート!$S$16,T$22,0)&lt;=10000000,OFFSET(家賃シミュレーションシート!$E$16,T$22,0)&gt;=65),"●","-")</f>
        <v>-</v>
      </c>
    </row>
    <row r="28" spans="1:20" ht="18" customHeight="1" x14ac:dyDescent="0.15">
      <c r="A28" s="18"/>
      <c r="B28" s="3">
        <v>7700000</v>
      </c>
      <c r="C28" s="3">
        <v>9999999</v>
      </c>
      <c r="D28" s="8" t="s">
        <v>15</v>
      </c>
      <c r="E28" s="3">
        <f ca="1">OFFSET(家賃シミュレーションシート!$Q$16,E$22,0)*0.95-1455000</f>
        <v>-1455000</v>
      </c>
      <c r="F28" s="23" t="str">
        <f ca="1">IF(AND(OFFSET(家賃シミュレーションシート!$Q$16,F$22,0)&gt;=$B28,OFFSET(家賃シミュレーションシート!$Q$16,F$22,0)&lt;=$C28,OFFSET(家賃シミュレーションシート!$O$16,F$22,0)+OFFSET(家賃シミュレーションシート!$S$16,F$22,0)&lt;=10000000,OFFSET(家賃シミュレーションシート!$E$16,F$22,0)&gt;=65),"●","-")</f>
        <v>-</v>
      </c>
      <c r="G28" s="3">
        <f ca="1">OFFSET(家賃シミュレーションシート!$Q$16,G$13,0)*0.95-1455000</f>
        <v>-1455000</v>
      </c>
      <c r="H28" s="23" t="str">
        <f ca="1">IF(AND(OFFSET(家賃シミュレーションシート!$Q$16,H$22,0)&gt;=$B28,OFFSET(家賃シミュレーションシート!$Q$16,H$22,0)&lt;=$C28,OFFSET(家賃シミュレーションシート!$O$16,H$22,0)+OFFSET(家賃シミュレーションシート!$S$16,H$22,0)&lt;=10000000,OFFSET(家賃シミュレーションシート!$E$16,H$22,0)&gt;=65),"●","-")</f>
        <v>-</v>
      </c>
      <c r="I28" s="3">
        <f ca="1">OFFSET(家賃シミュレーションシート!$Q$16,I$13,0)*0.95-1455000</f>
        <v>-1455000</v>
      </c>
      <c r="J28" s="23" t="str">
        <f ca="1">IF(AND(OFFSET(家賃シミュレーションシート!$Q$16,J$22,0)&gt;=$B28,OFFSET(家賃シミュレーションシート!$Q$16,J$22,0)&lt;=$C28,OFFSET(家賃シミュレーションシート!$O$16,J$22,0)+OFFSET(家賃シミュレーションシート!$S$16,J$22,0)&lt;=10000000,OFFSET(家賃シミュレーションシート!$E$16,J$22,0)&gt;=65),"●","-")</f>
        <v>-</v>
      </c>
      <c r="K28" s="3">
        <f ca="1">OFFSET(家賃シミュレーションシート!$Q$16,K$13,0)*0.95-1455000</f>
        <v>-1455000</v>
      </c>
      <c r="L28" s="23" t="str">
        <f ca="1">IF(AND(OFFSET(家賃シミュレーションシート!$Q$16,L$22,0)&gt;=$B28,OFFSET(家賃シミュレーションシート!$Q$16,L$22,0)&lt;=$C28,OFFSET(家賃シミュレーションシート!$O$16,L$22,0)+OFFSET(家賃シミュレーションシート!$S$16,L$22,0)&lt;=10000000,OFFSET(家賃シミュレーションシート!$E$16,L$22,0)&gt;=65),"●","-")</f>
        <v>-</v>
      </c>
      <c r="M28" s="3">
        <f ca="1">OFFSET(家賃シミュレーションシート!$Q$16,M$13,0)*0.95-1455000</f>
        <v>-1455000</v>
      </c>
      <c r="N28" s="23" t="str">
        <f ca="1">IF(AND(OFFSET(家賃シミュレーションシート!$Q$16,N$22,0)&gt;=$B28,OFFSET(家賃シミュレーションシート!$Q$16,N$22,0)&lt;=$C28,OFFSET(家賃シミュレーションシート!$O$16,N$22,0)+OFFSET(家賃シミュレーションシート!$S$16,N$22,0)&lt;=10000000,OFFSET(家賃シミュレーションシート!$E$16,N$22,0)&gt;=65),"●","-")</f>
        <v>-</v>
      </c>
      <c r="O28" s="3">
        <f ca="1">OFFSET(家賃シミュレーションシート!$Q$16,O$13,0)*0.95-1455000</f>
        <v>-1455000</v>
      </c>
      <c r="P28" s="23" t="str">
        <f ca="1">IF(AND(OFFSET(家賃シミュレーションシート!$Q$16,P$22,0)&gt;=$B28,OFFSET(家賃シミュレーションシート!$Q$16,P$22,0)&lt;=$C28,OFFSET(家賃シミュレーションシート!$O$16,P$22,0)+OFFSET(家賃シミュレーションシート!$S$16,P$22,0)&lt;=10000000,OFFSET(家賃シミュレーションシート!$E$16,P$22,0)&gt;=65),"●","-")</f>
        <v>-</v>
      </c>
      <c r="Q28" s="3">
        <f ca="1">OFFSET(家賃シミュレーションシート!$Q$16,Q$13,0)*0.95-1455000</f>
        <v>-1455000</v>
      </c>
      <c r="R28" s="23" t="str">
        <f ca="1">IF(AND(OFFSET(家賃シミュレーションシート!$Q$16,R$22,0)&gt;=$B28,OFFSET(家賃シミュレーションシート!$Q$16,R$22,0)&lt;=$C28,OFFSET(家賃シミュレーションシート!$O$16,R$22,0)+OFFSET(家賃シミュレーションシート!$S$16,R$22,0)&lt;=10000000,OFFSET(家賃シミュレーションシート!$E$16,R$22,0)&gt;=65),"●","-")</f>
        <v>-</v>
      </c>
      <c r="S28" s="3">
        <f ca="1">OFFSET(家賃シミュレーションシート!$Q$16,S$13,0)*0.95-1455000</f>
        <v>-1455000</v>
      </c>
      <c r="T28" s="23" t="str">
        <f ca="1">IF(AND(OFFSET(家賃シミュレーションシート!$Q$16,T$22,0)&gt;=$B28,OFFSET(家賃シミュレーションシート!$Q$16,T$22,0)&lt;=$C28,OFFSET(家賃シミュレーションシート!$O$16,T$22,0)+OFFSET(家賃シミュレーションシート!$S$16,T$22,0)&lt;=10000000,OFFSET(家賃シミュレーションシート!$E$16,T$22,0)&gt;=65),"●","-")</f>
        <v>-</v>
      </c>
    </row>
    <row r="29" spans="1:20" ht="18" customHeight="1" x14ac:dyDescent="0.15">
      <c r="A29" s="18"/>
      <c r="B29" s="3">
        <v>10000000</v>
      </c>
      <c r="C29" s="3"/>
      <c r="D29" s="8" t="s">
        <v>16</v>
      </c>
      <c r="E29" s="3">
        <f ca="1">OFFSET(家賃シミュレーションシート!$Q$16,E$22,0)-1955000</f>
        <v>-1955000</v>
      </c>
      <c r="F29" s="23" t="str">
        <f ca="1">IF(AND(OFFSET(家賃シミュレーションシート!$Q$16,F$22,0)&gt;=$B29,OFFSET(家賃シミュレーションシート!$O$16,F$22,0)+OFFSET(家賃シミュレーションシート!$S$16,F$22,0)&lt;=10000000,OFFSET(家賃シミュレーションシート!$E$16,F$22,0)&gt;=65),"●","-")</f>
        <v>-</v>
      </c>
      <c r="G29" s="3">
        <f ca="1">OFFSET(家賃シミュレーションシート!$Q$16,G$13,0)-1955000</f>
        <v>-1955000</v>
      </c>
      <c r="H29" s="23" t="str">
        <f ca="1">IF(AND(OFFSET(家賃シミュレーションシート!$Q$16,H$22,0)&gt;=$B29,OFFSET(家賃シミュレーションシート!$O$16,H$22,0)+OFFSET(家賃シミュレーションシート!$S$16,H$22,0)&lt;=10000000,OFFSET(家賃シミュレーションシート!$E$16,H$22,0)&gt;=65),"●","-")</f>
        <v>-</v>
      </c>
      <c r="I29" s="3">
        <f ca="1">OFFSET(家賃シミュレーションシート!$Q$16,I$13,0)-1955000</f>
        <v>-1955000</v>
      </c>
      <c r="J29" s="23" t="str">
        <f ca="1">IF(AND(OFFSET(家賃シミュレーションシート!$Q$16,J$22,0)&gt;=$B29,OFFSET(家賃シミュレーションシート!$O$16,J$22,0)+OFFSET(家賃シミュレーションシート!$S$16,J$22,0)&lt;=10000000,OFFSET(家賃シミュレーションシート!$E$16,J$22,0)&gt;=65),"●","-")</f>
        <v>-</v>
      </c>
      <c r="K29" s="3">
        <f ca="1">OFFSET(家賃シミュレーションシート!$Q$16,K$13,0)-1955000</f>
        <v>-1955000</v>
      </c>
      <c r="L29" s="23" t="str">
        <f ca="1">IF(AND(OFFSET(家賃シミュレーションシート!$Q$16,L$22,0)&gt;=$B29,OFFSET(家賃シミュレーションシート!$O$16,L$22,0)+OFFSET(家賃シミュレーションシート!$S$16,L$22,0)&lt;=10000000,OFFSET(家賃シミュレーションシート!$E$16,L$22,0)&gt;=65),"●","-")</f>
        <v>-</v>
      </c>
      <c r="M29" s="3">
        <f ca="1">OFFSET(家賃シミュレーションシート!$Q$16,M$13,0)-1955000</f>
        <v>-1955000</v>
      </c>
      <c r="N29" s="23" t="str">
        <f ca="1">IF(AND(OFFSET(家賃シミュレーションシート!$Q$16,N$22,0)&gt;=$B29,OFFSET(家賃シミュレーションシート!$O$16,N$22,0)+OFFSET(家賃シミュレーションシート!$S$16,N$22,0)&lt;=10000000,OFFSET(家賃シミュレーションシート!$E$16,N$22,0)&gt;=65),"●","-")</f>
        <v>-</v>
      </c>
      <c r="O29" s="3">
        <f ca="1">OFFSET(家賃シミュレーションシート!$Q$16,O$13,0)-1955000</f>
        <v>-1955000</v>
      </c>
      <c r="P29" s="23" t="str">
        <f ca="1">IF(AND(OFFSET(家賃シミュレーションシート!$Q$16,P$22,0)&gt;=$B29,OFFSET(家賃シミュレーションシート!$O$16,P$22,0)+OFFSET(家賃シミュレーションシート!$S$16,P$22,0)&lt;=10000000,OFFSET(家賃シミュレーションシート!$E$16,P$22,0)&gt;=65),"●","-")</f>
        <v>-</v>
      </c>
      <c r="Q29" s="3">
        <f ca="1">OFFSET(家賃シミュレーションシート!$Q$16,Q$13,0)-1955000</f>
        <v>-1955000</v>
      </c>
      <c r="R29" s="23" t="str">
        <f ca="1">IF(AND(OFFSET(家賃シミュレーションシート!$Q$16,R$22,0)&gt;=$B29,OFFSET(家賃シミュレーションシート!$O$16,R$22,0)+OFFSET(家賃シミュレーションシート!$S$16,R$22,0)&lt;=10000000,OFFSET(家賃シミュレーションシート!$E$16,R$22,0)&gt;=65),"●","-")</f>
        <v>-</v>
      </c>
      <c r="S29" s="3">
        <f ca="1">OFFSET(家賃シミュレーションシート!$Q$16,S$13,0)-1955000</f>
        <v>-1955000</v>
      </c>
      <c r="T29" s="23" t="str">
        <f ca="1">IF(AND(OFFSET(家賃シミュレーションシート!$Q$16,T$22,0)&gt;=$B29,OFFSET(家賃シミュレーションシート!$O$16,T$22,0)+OFFSET(家賃シミュレーションシート!$S$16,T$22,0)&lt;=10000000,OFFSET(家賃シミュレーションシート!$E$16,T$22,0)&gt;=65),"●","-")</f>
        <v>-</v>
      </c>
    </row>
    <row r="30" spans="1:20" s="17" customFormat="1" ht="18" customHeight="1" x14ac:dyDescent="0.15">
      <c r="B30" s="7" t="s">
        <v>8</v>
      </c>
    </row>
    <row r="31" spans="1:20" s="17" customFormat="1" ht="18" customHeight="1" x14ac:dyDescent="0.15">
      <c r="B31" s="7" t="s">
        <v>20</v>
      </c>
    </row>
    <row r="32" spans="1:20" ht="18" customHeight="1" x14ac:dyDescent="0.15">
      <c r="A32" s="17"/>
      <c r="B32" s="1" t="s">
        <v>9</v>
      </c>
    </row>
    <row r="33" spans="1:20" ht="18" customHeight="1" x14ac:dyDescent="0.15">
      <c r="A33" s="17"/>
      <c r="B33" s="11" t="s">
        <v>10</v>
      </c>
      <c r="C33" s="11"/>
      <c r="D33" s="15" t="s">
        <v>11</v>
      </c>
      <c r="E33" s="2">
        <v>0</v>
      </c>
      <c r="F33" s="2">
        <v>0</v>
      </c>
      <c r="G33" s="2">
        <v>2</v>
      </c>
      <c r="H33" s="2">
        <v>2</v>
      </c>
      <c r="I33" s="2">
        <v>4</v>
      </c>
      <c r="J33" s="2">
        <v>4</v>
      </c>
      <c r="K33" s="2">
        <v>6</v>
      </c>
      <c r="L33" s="2">
        <v>6</v>
      </c>
      <c r="M33" s="2">
        <v>8</v>
      </c>
      <c r="N33" s="2">
        <v>8</v>
      </c>
      <c r="O33" s="2">
        <v>10</v>
      </c>
      <c r="P33" s="2">
        <v>10</v>
      </c>
      <c r="Q33" s="2">
        <v>12</v>
      </c>
      <c r="R33" s="2">
        <v>12</v>
      </c>
      <c r="S33" s="2">
        <v>14</v>
      </c>
      <c r="T33" s="2">
        <v>14</v>
      </c>
    </row>
    <row r="34" spans="1:20" ht="18" customHeight="1" x14ac:dyDescent="0.15">
      <c r="A34" s="17"/>
      <c r="B34" s="13" t="s">
        <v>2</v>
      </c>
      <c r="C34" s="13" t="s">
        <v>3</v>
      </c>
      <c r="D34" s="14" t="s">
        <v>4</v>
      </c>
      <c r="E34" s="22" t="s">
        <v>45</v>
      </c>
      <c r="F34" s="22"/>
      <c r="G34" s="22" t="s">
        <v>38</v>
      </c>
      <c r="H34" s="22"/>
      <c r="I34" s="22" t="s">
        <v>39</v>
      </c>
      <c r="J34" s="22"/>
      <c r="K34" s="22" t="s">
        <v>40</v>
      </c>
      <c r="L34" s="22"/>
      <c r="M34" s="22" t="s">
        <v>41</v>
      </c>
      <c r="N34" s="22"/>
      <c r="O34" s="22" t="s">
        <v>42</v>
      </c>
      <c r="P34" s="22"/>
      <c r="Q34" s="22" t="s">
        <v>467</v>
      </c>
      <c r="R34" s="22"/>
      <c r="S34" s="22" t="s">
        <v>468</v>
      </c>
      <c r="T34" s="22"/>
    </row>
    <row r="35" spans="1:20" ht="18" customHeight="1" x14ac:dyDescent="0.15">
      <c r="A35" s="17"/>
      <c r="B35" s="3"/>
      <c r="C35" s="3">
        <v>500000</v>
      </c>
      <c r="D35" s="8">
        <v>0</v>
      </c>
      <c r="E35" s="3">
        <v>0</v>
      </c>
      <c r="F35" s="23" t="str">
        <f ca="1">IF(AND(OFFSET(家賃シミュレーションシート!$Q$16,F$33,0)&lt;=$C35,OFFSET(家賃シミュレーションシート!$O$16,F$33,0)+OFFSET(家賃シミュレーションシート!$S$16,F$33,0)&gt;10000000,OFFSET(家賃シミュレーションシート!$O$16,F$33,0)+OFFSET(家賃シミュレーションシート!$S$16,F$33,0)&lt;=20000000,OFFSET(家賃シミュレーションシート!$E$16,F$33,0)&lt;65),"●","-")</f>
        <v>-</v>
      </c>
      <c r="G35" s="3">
        <v>0</v>
      </c>
      <c r="H35" s="23" t="str">
        <f ca="1">IF(AND(OFFSET(家賃シミュレーションシート!$Q$16,H$33,0)&lt;=$C35,OFFSET(家賃シミュレーションシート!$O$16,H$33,0)+OFFSET(家賃シミュレーションシート!$S$16,H$33,0)&gt;10000000,OFFSET(家賃シミュレーションシート!$O$16,H$33,0)+OFFSET(家賃シミュレーションシート!$S$16,H$33,0)&lt;=20000000,OFFSET(家賃シミュレーションシート!$E$16,H$33,0)&lt;65),"●","-")</f>
        <v>-</v>
      </c>
      <c r="I35" s="3">
        <v>0</v>
      </c>
      <c r="J35" s="23" t="str">
        <f ca="1">IF(AND(OFFSET(家賃シミュレーションシート!$Q$16,J$33,0)&lt;=$C35,OFFSET(家賃シミュレーションシート!$O$16,J$33,0)+OFFSET(家賃シミュレーションシート!$S$16,J$33,0)&gt;10000000,OFFSET(家賃シミュレーションシート!$O$16,J$33,0)+OFFSET(家賃シミュレーションシート!$S$16,J$33,0)&lt;=20000000,OFFSET(家賃シミュレーションシート!$E$16,J$33,0)&lt;65),"●","-")</f>
        <v>-</v>
      </c>
      <c r="K35" s="3">
        <v>0</v>
      </c>
      <c r="L35" s="23" t="str">
        <f ca="1">IF(AND(OFFSET(家賃シミュレーションシート!$Q$16,L$33,0)&lt;=$C35,OFFSET(家賃シミュレーションシート!$O$16,L$33,0)+OFFSET(家賃シミュレーションシート!$S$16,L$33,0)&gt;10000000,OFFSET(家賃シミュレーションシート!$O$16,L$33,0)+OFFSET(家賃シミュレーションシート!$S$16,L$33,0)&lt;=20000000,OFFSET(家賃シミュレーションシート!$E$16,L$33,0)&lt;65),"●","-")</f>
        <v>-</v>
      </c>
      <c r="M35" s="3">
        <v>0</v>
      </c>
      <c r="N35" s="23" t="str">
        <f ca="1">IF(AND(OFFSET(家賃シミュレーションシート!$Q$16,N$33,0)&lt;=$C35,OFFSET(家賃シミュレーションシート!$O$16,N$33,0)+OFFSET(家賃シミュレーションシート!$S$16,N$33,0)&gt;10000000,OFFSET(家賃シミュレーションシート!$O$16,N$33,0)+OFFSET(家賃シミュレーションシート!$S$16,N$33,0)&lt;=20000000,OFFSET(家賃シミュレーションシート!$E$16,N$33,0)&lt;65),"●","-")</f>
        <v>-</v>
      </c>
      <c r="O35" s="3">
        <v>0</v>
      </c>
      <c r="P35" s="23" t="str">
        <f ca="1">IF(AND(OFFSET(家賃シミュレーションシート!$Q$16,P$33,0)&lt;=$C35,OFFSET(家賃シミュレーションシート!$O$16,P$33,0)+OFFSET(家賃シミュレーションシート!$S$16,P$33,0)&gt;10000000,OFFSET(家賃シミュレーションシート!$O$16,P$33,0)+OFFSET(家賃シミュレーションシート!$S$16,P$33,0)&lt;=20000000,OFFSET(家賃シミュレーションシート!$E$16,P$33,0)&lt;65),"●","-")</f>
        <v>-</v>
      </c>
      <c r="Q35" s="3">
        <v>0</v>
      </c>
      <c r="R35" s="23" t="str">
        <f ca="1">IF(AND(OFFSET(家賃シミュレーションシート!$Q$16,R$33,0)&lt;=$C35,OFFSET(家賃シミュレーションシート!$O$16,R$33,0)+OFFSET(家賃シミュレーションシート!$S$16,R$33,0)&gt;10000000,OFFSET(家賃シミュレーションシート!$O$16,R$33,0)+OFFSET(家賃シミュレーションシート!$S$16,R$33,0)&lt;=20000000,OFFSET(家賃シミュレーションシート!$E$16,R$33,0)&lt;65),"●","-")</f>
        <v>-</v>
      </c>
      <c r="S35" s="3">
        <v>0</v>
      </c>
      <c r="T35" s="23" t="str">
        <f ca="1">IF(AND(OFFSET(家賃シミュレーションシート!$Q$16,T$33,0)&lt;=$C35,OFFSET(家賃シミュレーションシート!$O$16,T$33,0)+OFFSET(家賃シミュレーションシート!$S$16,T$33,0)&gt;10000000,OFFSET(家賃シミュレーションシート!$O$16,T$33,0)+OFFSET(家賃シミュレーションシート!$S$16,T$33,0)&lt;=20000000,OFFSET(家賃シミュレーションシート!$E$16,T$33,0)&lt;65),"●","-")</f>
        <v>-</v>
      </c>
    </row>
    <row r="36" spans="1:20" ht="18" customHeight="1" x14ac:dyDescent="0.15">
      <c r="A36" s="17"/>
      <c r="B36" s="3">
        <v>500001</v>
      </c>
      <c r="C36" s="3">
        <v>1299999</v>
      </c>
      <c r="D36" s="8" t="s">
        <v>21</v>
      </c>
      <c r="E36" s="3">
        <f ca="1">OFFSET(家賃シミュレーションシート!$Q$16,E$33,0)-500000</f>
        <v>-500000</v>
      </c>
      <c r="F36" s="23" t="str">
        <f ca="1">IF(AND(OFFSET(家賃シミュレーションシート!$Q$16,F$33,0)&gt;=$B36,OFFSET(家賃シミュレーションシート!$Q$16,F$33,0)&lt;=$C36,OFFSET(家賃シミュレーションシート!$O$16,F$33,0)+OFFSET(家賃シミュレーションシート!$S$16,F$33,0)&gt;10000000,OFFSET(家賃シミュレーションシート!$O$16,F$33,0)+OFFSET(家賃シミュレーションシート!$S$16,F$33,0)&lt;=20000000,OFFSET(家賃シミュレーションシート!$E$16,F$33,0)&lt;65),"●","-")</f>
        <v>-</v>
      </c>
      <c r="G36" s="3">
        <f ca="1">OFFSET(家賃シミュレーションシート!$Q$16,G$33,0)-500000</f>
        <v>-500000</v>
      </c>
      <c r="H36" s="23" t="str">
        <f ca="1">IF(AND(OFFSET(家賃シミュレーションシート!$Q$16,H$33,0)&gt;=$B36,OFFSET(家賃シミュレーションシート!$Q$16,H$33,0)&lt;=$C36,OFFSET(家賃シミュレーションシート!$O$16,H$33,0)+OFFSET(家賃シミュレーションシート!$S$16,H$33,0)&gt;10000000,OFFSET(家賃シミュレーションシート!$O$16,H$33,0)+OFFSET(家賃シミュレーションシート!$S$16,H$33,0)&lt;=20000000,OFFSET(家賃シミュレーションシート!$E$16,H$33,0)&lt;65),"●","-")</f>
        <v>-</v>
      </c>
      <c r="I36" s="3">
        <f ca="1">OFFSET(家賃シミュレーションシート!$Q$16,I$33,0)-500000</f>
        <v>-500000</v>
      </c>
      <c r="J36" s="23" t="str">
        <f ca="1">IF(AND(OFFSET(家賃シミュレーションシート!$Q$16,J$33,0)&gt;=$B36,OFFSET(家賃シミュレーションシート!$Q$16,J$33,0)&lt;=$C36,OFFSET(家賃シミュレーションシート!$O$16,J$33,0)+OFFSET(家賃シミュレーションシート!$S$16,J$33,0)&gt;10000000,OFFSET(家賃シミュレーションシート!$O$16,J$33,0)+OFFSET(家賃シミュレーションシート!$S$16,J$33,0)&lt;=20000000,OFFSET(家賃シミュレーションシート!$E$16,J$33,0)&lt;65),"●","-")</f>
        <v>-</v>
      </c>
      <c r="K36" s="3">
        <f ca="1">OFFSET(家賃シミュレーションシート!$Q$16,K$33,0)-500000</f>
        <v>-500000</v>
      </c>
      <c r="L36" s="23" t="str">
        <f ca="1">IF(AND(OFFSET(家賃シミュレーションシート!$Q$16,L$33,0)&gt;=$B36,OFFSET(家賃シミュレーションシート!$Q$16,L$33,0)&lt;=$C36,OFFSET(家賃シミュレーションシート!$O$16,L$33,0)+OFFSET(家賃シミュレーションシート!$S$16,L$33,0)&gt;10000000,OFFSET(家賃シミュレーションシート!$O$16,L$33,0)+OFFSET(家賃シミュレーションシート!$S$16,L$33,0)&lt;=20000000,OFFSET(家賃シミュレーションシート!$E$16,L$33,0)&lt;65),"●","-")</f>
        <v>-</v>
      </c>
      <c r="M36" s="3">
        <f ca="1">OFFSET(家賃シミュレーションシート!$Q$16,M$33,0)-500000</f>
        <v>-500000</v>
      </c>
      <c r="N36" s="23" t="str">
        <f ca="1">IF(AND(OFFSET(家賃シミュレーションシート!$Q$16,N$33,0)&gt;=$B36,OFFSET(家賃シミュレーションシート!$Q$16,N$33,0)&lt;=$C36,OFFSET(家賃シミュレーションシート!$O$16,N$33,0)+OFFSET(家賃シミュレーションシート!$S$16,N$33,0)&gt;10000000,OFFSET(家賃シミュレーションシート!$O$16,N$33,0)+OFFSET(家賃シミュレーションシート!$S$16,N$33,0)&lt;=20000000,OFFSET(家賃シミュレーションシート!$E$16,N$33,0)&lt;65),"●","-")</f>
        <v>-</v>
      </c>
      <c r="O36" s="3">
        <f ca="1">OFFSET(家賃シミュレーションシート!$Q$16,O$33,0)-500000</f>
        <v>-500000</v>
      </c>
      <c r="P36" s="23" t="str">
        <f ca="1">IF(AND(OFFSET(家賃シミュレーションシート!$Q$16,P$33,0)&gt;=$B36,OFFSET(家賃シミュレーションシート!$Q$16,P$33,0)&lt;=$C36,OFFSET(家賃シミュレーションシート!$O$16,P$33,0)+OFFSET(家賃シミュレーションシート!$S$16,P$33,0)&gt;10000000,OFFSET(家賃シミュレーションシート!$O$16,P$33,0)+OFFSET(家賃シミュレーションシート!$S$16,P$33,0)&lt;=20000000,OFFSET(家賃シミュレーションシート!$E$16,P$33,0)&lt;65),"●","-")</f>
        <v>-</v>
      </c>
      <c r="Q36" s="3">
        <f ca="1">OFFSET(家賃シミュレーションシート!$Q$16,Q$33,0)-500000</f>
        <v>-500000</v>
      </c>
      <c r="R36" s="23" t="str">
        <f ca="1">IF(AND(OFFSET(家賃シミュレーションシート!$Q$16,R$33,0)&gt;=$B36,OFFSET(家賃シミュレーションシート!$Q$16,R$33,0)&lt;=$C36,OFFSET(家賃シミュレーションシート!$O$16,R$33,0)+OFFSET(家賃シミュレーションシート!$S$16,R$33,0)&gt;10000000,OFFSET(家賃シミュレーションシート!$O$16,R$33,0)+OFFSET(家賃シミュレーションシート!$S$16,R$33,0)&lt;=20000000,OFFSET(家賃シミュレーションシート!$E$16,R$33,0)&lt;65),"●","-")</f>
        <v>-</v>
      </c>
      <c r="S36" s="3">
        <f ca="1">OFFSET(家賃シミュレーションシート!$Q$16,S$33,0)-500000</f>
        <v>-500000</v>
      </c>
      <c r="T36" s="23" t="str">
        <f ca="1">IF(AND(OFFSET(家賃シミュレーションシート!$Q$16,T$33,0)&gt;=$B36,OFFSET(家賃シミュレーションシート!$Q$16,T$33,0)&lt;=$C36,OFFSET(家賃シミュレーションシート!$O$16,T$33,0)+OFFSET(家賃シミュレーションシート!$S$16,T$33,0)&gt;10000000,OFFSET(家賃シミュレーションシート!$O$16,T$33,0)+OFFSET(家賃シミュレーションシート!$S$16,T$33,0)&lt;=20000000,OFFSET(家賃シミュレーションシート!$E$16,T$33,0)&lt;65),"●","-")</f>
        <v>-</v>
      </c>
    </row>
    <row r="37" spans="1:20" ht="18" customHeight="1" x14ac:dyDescent="0.15">
      <c r="A37" s="17"/>
      <c r="B37" s="3">
        <v>1300000</v>
      </c>
      <c r="C37" s="3">
        <v>4099999</v>
      </c>
      <c r="D37" s="8" t="s">
        <v>22</v>
      </c>
      <c r="E37" s="3">
        <f ca="1">OFFSET(家賃シミュレーションシート!$Q$16,E$33,0)*0.75-175000</f>
        <v>-175000</v>
      </c>
      <c r="F37" s="23" t="str">
        <f ca="1">IF(AND(OFFSET(家賃シミュレーションシート!$Q$16,F$33,0)&gt;=$B37,OFFSET(家賃シミュレーションシート!$Q$16,F$33,0)&lt;=$C37,OFFSET(家賃シミュレーションシート!$O$16,F$33,0)+OFFSET(家賃シミュレーションシート!$S$16,F$33,0)&gt;10000000,OFFSET(家賃シミュレーションシート!$O$16,F$33,0)+OFFSET(家賃シミュレーションシート!$S$16,F$33,0)&lt;=20000000,OFFSET(家賃シミュレーションシート!$E$16,F$33,0)&lt;65),"●","-")</f>
        <v>-</v>
      </c>
      <c r="G37" s="3">
        <f ca="1">OFFSET(家賃シミュレーションシート!$Q$16,G$33,0)*0.75-175000</f>
        <v>-175000</v>
      </c>
      <c r="H37" s="23" t="str">
        <f ca="1">IF(AND(OFFSET(家賃シミュレーションシート!$Q$16,H$33,0)&gt;=$B37,OFFSET(家賃シミュレーションシート!$Q$16,H$33,0)&lt;=$C37,OFFSET(家賃シミュレーションシート!$O$16,H$33,0)+OFFSET(家賃シミュレーションシート!$S$16,H$33,0)&gt;10000000,OFFSET(家賃シミュレーションシート!$O$16,H$33,0)+OFFSET(家賃シミュレーションシート!$S$16,H$33,0)&lt;=20000000,OFFSET(家賃シミュレーションシート!$E$16,H$33,0)&lt;65),"●","-")</f>
        <v>-</v>
      </c>
      <c r="I37" s="3">
        <f ca="1">OFFSET(家賃シミュレーションシート!$Q$16,I$33,0)*0.75-175000</f>
        <v>-175000</v>
      </c>
      <c r="J37" s="23" t="str">
        <f ca="1">IF(AND(OFFSET(家賃シミュレーションシート!$Q$16,J$33,0)&gt;=$B37,OFFSET(家賃シミュレーションシート!$Q$16,J$33,0)&lt;=$C37,OFFSET(家賃シミュレーションシート!$O$16,J$33,0)+OFFSET(家賃シミュレーションシート!$S$16,J$33,0)&gt;10000000,OFFSET(家賃シミュレーションシート!$O$16,J$33,0)+OFFSET(家賃シミュレーションシート!$S$16,J$33,0)&lt;=20000000,OFFSET(家賃シミュレーションシート!$E$16,J$33,0)&lt;65),"●","-")</f>
        <v>-</v>
      </c>
      <c r="K37" s="3">
        <f ca="1">OFFSET(家賃シミュレーションシート!$Q$16,K$33,0)*0.75-175000</f>
        <v>-175000</v>
      </c>
      <c r="L37" s="23" t="str">
        <f ca="1">IF(AND(OFFSET(家賃シミュレーションシート!$Q$16,L$33,0)&gt;=$B37,OFFSET(家賃シミュレーションシート!$Q$16,L$33,0)&lt;=$C37,OFFSET(家賃シミュレーションシート!$O$16,L$33,0)+OFFSET(家賃シミュレーションシート!$S$16,L$33,0)&gt;10000000,OFFSET(家賃シミュレーションシート!$O$16,L$33,0)+OFFSET(家賃シミュレーションシート!$S$16,L$33,0)&lt;=20000000,OFFSET(家賃シミュレーションシート!$E$16,L$33,0)&lt;65),"●","-")</f>
        <v>-</v>
      </c>
      <c r="M37" s="3">
        <f ca="1">OFFSET(家賃シミュレーションシート!$Q$16,M$33,0)*0.75-175000</f>
        <v>-175000</v>
      </c>
      <c r="N37" s="23" t="str">
        <f ca="1">IF(AND(OFFSET(家賃シミュレーションシート!$Q$16,N$33,0)&gt;=$B37,OFFSET(家賃シミュレーションシート!$Q$16,N$33,0)&lt;=$C37,OFFSET(家賃シミュレーションシート!$O$16,N$33,0)+OFFSET(家賃シミュレーションシート!$S$16,N$33,0)&gt;10000000,OFFSET(家賃シミュレーションシート!$O$16,N$33,0)+OFFSET(家賃シミュレーションシート!$S$16,N$33,0)&lt;=20000000,OFFSET(家賃シミュレーションシート!$E$16,N$33,0)&lt;65),"●","-")</f>
        <v>-</v>
      </c>
      <c r="O37" s="3">
        <f ca="1">OFFSET(家賃シミュレーションシート!$Q$16,O$33,0)*0.75-175000</f>
        <v>-175000</v>
      </c>
      <c r="P37" s="23" t="str">
        <f ca="1">IF(AND(OFFSET(家賃シミュレーションシート!$Q$16,P$33,0)&gt;=$B37,OFFSET(家賃シミュレーションシート!$Q$16,P$33,0)&lt;=$C37,OFFSET(家賃シミュレーションシート!$O$16,P$33,0)+OFFSET(家賃シミュレーションシート!$S$16,P$33,0)&gt;10000000,OFFSET(家賃シミュレーションシート!$O$16,P$33,0)+OFFSET(家賃シミュレーションシート!$S$16,P$33,0)&lt;=20000000,OFFSET(家賃シミュレーションシート!$E$16,P$33,0)&lt;65),"●","-")</f>
        <v>-</v>
      </c>
      <c r="Q37" s="3">
        <f ca="1">OFFSET(家賃シミュレーションシート!$Q$16,Q$33,0)*0.75-175000</f>
        <v>-175000</v>
      </c>
      <c r="R37" s="23" t="str">
        <f ca="1">IF(AND(OFFSET(家賃シミュレーションシート!$Q$16,R$33,0)&gt;=$B37,OFFSET(家賃シミュレーションシート!$Q$16,R$33,0)&lt;=$C37,OFFSET(家賃シミュレーションシート!$O$16,R$33,0)+OFFSET(家賃シミュレーションシート!$S$16,R$33,0)&gt;10000000,OFFSET(家賃シミュレーションシート!$O$16,R$33,0)+OFFSET(家賃シミュレーションシート!$S$16,R$33,0)&lt;=20000000,OFFSET(家賃シミュレーションシート!$E$16,R$33,0)&lt;65),"●","-")</f>
        <v>-</v>
      </c>
      <c r="S37" s="3">
        <f ca="1">OFFSET(家賃シミュレーションシート!$Q$16,S$33,0)*0.75-175000</f>
        <v>-175000</v>
      </c>
      <c r="T37" s="23" t="str">
        <f ca="1">IF(AND(OFFSET(家賃シミュレーションシート!$Q$16,T$33,0)&gt;=$B37,OFFSET(家賃シミュレーションシート!$Q$16,T$33,0)&lt;=$C37,OFFSET(家賃シミュレーションシート!$O$16,T$33,0)+OFFSET(家賃シミュレーションシート!$S$16,T$33,0)&gt;10000000,OFFSET(家賃シミュレーションシート!$O$16,T$33,0)+OFFSET(家賃シミュレーションシート!$S$16,T$33,0)&lt;=20000000,OFFSET(家賃シミュレーションシート!$E$16,T$33,0)&lt;65),"●","-")</f>
        <v>-</v>
      </c>
    </row>
    <row r="38" spans="1:20" ht="18" customHeight="1" x14ac:dyDescent="0.15">
      <c r="A38" s="17"/>
      <c r="B38" s="3">
        <v>4100000</v>
      </c>
      <c r="C38" s="3">
        <v>7699999</v>
      </c>
      <c r="D38" s="8" t="s">
        <v>23</v>
      </c>
      <c r="E38" s="3">
        <f ca="1">OFFSET(家賃シミュレーションシート!$Q$16,E$33,0)*0.85-585000</f>
        <v>-585000</v>
      </c>
      <c r="F38" s="23" t="str">
        <f ca="1">IF(AND(OFFSET(家賃シミュレーションシート!$Q$16,F$33,0)&gt;=$B38,OFFSET(家賃シミュレーションシート!$Q$16,F$33,0)&lt;=$C38,OFFSET(家賃シミュレーションシート!$O$16,F$33,0)+OFFSET(家賃シミュレーションシート!$S$16,F$33,0)&gt;10000000,OFFSET(家賃シミュレーションシート!$O$16,F$33,0)+OFFSET(家賃シミュレーションシート!$S$16,F$33,0)&lt;=20000000,OFFSET(家賃シミュレーションシート!$E$16,F$33,0)&lt;65),"●","-")</f>
        <v>-</v>
      </c>
      <c r="G38" s="3">
        <f ca="1">OFFSET(家賃シミュレーションシート!$Q$16,G$33,0)*0.85-585000</f>
        <v>-585000</v>
      </c>
      <c r="H38" s="23" t="str">
        <f ca="1">IF(AND(OFFSET(家賃シミュレーションシート!$Q$16,H$33,0)&gt;=$B38,OFFSET(家賃シミュレーションシート!$Q$16,H$33,0)&lt;=$C38,OFFSET(家賃シミュレーションシート!$O$16,H$33,0)+OFFSET(家賃シミュレーションシート!$S$16,H$33,0)&gt;10000000,OFFSET(家賃シミュレーションシート!$O$16,H$33,0)+OFFSET(家賃シミュレーションシート!$S$16,H$33,0)&lt;=20000000,OFFSET(家賃シミュレーションシート!$E$16,H$33,0)&lt;65),"●","-")</f>
        <v>-</v>
      </c>
      <c r="I38" s="3">
        <f ca="1">OFFSET(家賃シミュレーションシート!$Q$16,I$33,0)*0.85-585000</f>
        <v>-585000</v>
      </c>
      <c r="J38" s="23" t="str">
        <f ca="1">IF(AND(OFFSET(家賃シミュレーションシート!$Q$16,J$33,0)&gt;=$B38,OFFSET(家賃シミュレーションシート!$Q$16,J$33,0)&lt;=$C38,OFFSET(家賃シミュレーションシート!$O$16,J$33,0)+OFFSET(家賃シミュレーションシート!$S$16,J$33,0)&gt;10000000,OFFSET(家賃シミュレーションシート!$O$16,J$33,0)+OFFSET(家賃シミュレーションシート!$S$16,J$33,0)&lt;=20000000,OFFSET(家賃シミュレーションシート!$E$16,J$33,0)&lt;65),"●","-")</f>
        <v>-</v>
      </c>
      <c r="K38" s="3">
        <f ca="1">OFFSET(家賃シミュレーションシート!$Q$16,K$33,0)*0.85-585000</f>
        <v>-585000</v>
      </c>
      <c r="L38" s="23" t="str">
        <f ca="1">IF(AND(OFFSET(家賃シミュレーションシート!$Q$16,L$33,0)&gt;=$B38,OFFSET(家賃シミュレーションシート!$Q$16,L$33,0)&lt;=$C38,OFFSET(家賃シミュレーションシート!$O$16,L$33,0)+OFFSET(家賃シミュレーションシート!$S$16,L$33,0)&gt;10000000,OFFSET(家賃シミュレーションシート!$O$16,L$33,0)+OFFSET(家賃シミュレーションシート!$S$16,L$33,0)&lt;=20000000,OFFSET(家賃シミュレーションシート!$E$16,L$33,0)&lt;65),"●","-")</f>
        <v>-</v>
      </c>
      <c r="M38" s="3">
        <f ca="1">OFFSET(家賃シミュレーションシート!$Q$16,M$33,0)*0.85-585000</f>
        <v>-585000</v>
      </c>
      <c r="N38" s="23" t="str">
        <f ca="1">IF(AND(OFFSET(家賃シミュレーションシート!$Q$16,N$33,0)&gt;=$B38,OFFSET(家賃シミュレーションシート!$Q$16,N$33,0)&lt;=$C38,OFFSET(家賃シミュレーションシート!$O$16,N$33,0)+OFFSET(家賃シミュレーションシート!$S$16,N$33,0)&gt;10000000,OFFSET(家賃シミュレーションシート!$O$16,N$33,0)+OFFSET(家賃シミュレーションシート!$S$16,N$33,0)&lt;=20000000,OFFSET(家賃シミュレーションシート!$E$16,N$33,0)&lt;65),"●","-")</f>
        <v>-</v>
      </c>
      <c r="O38" s="3">
        <f ca="1">OFFSET(家賃シミュレーションシート!$Q$16,O$33,0)*0.85-585000</f>
        <v>-585000</v>
      </c>
      <c r="P38" s="23" t="str">
        <f ca="1">IF(AND(OFFSET(家賃シミュレーションシート!$Q$16,P$33,0)&gt;=$B38,OFFSET(家賃シミュレーションシート!$Q$16,P$33,0)&lt;=$C38,OFFSET(家賃シミュレーションシート!$O$16,P$33,0)+OFFSET(家賃シミュレーションシート!$S$16,P$33,0)&gt;10000000,OFFSET(家賃シミュレーションシート!$O$16,P$33,0)+OFFSET(家賃シミュレーションシート!$S$16,P$33,0)&lt;=20000000,OFFSET(家賃シミュレーションシート!$E$16,P$33,0)&lt;65),"●","-")</f>
        <v>-</v>
      </c>
      <c r="Q38" s="3">
        <f ca="1">OFFSET(家賃シミュレーションシート!$Q$16,Q$33,0)*0.85-585000</f>
        <v>-585000</v>
      </c>
      <c r="R38" s="23" t="str">
        <f ca="1">IF(AND(OFFSET(家賃シミュレーションシート!$Q$16,R$33,0)&gt;=$B38,OFFSET(家賃シミュレーションシート!$Q$16,R$33,0)&lt;=$C38,OFFSET(家賃シミュレーションシート!$O$16,R$33,0)+OFFSET(家賃シミュレーションシート!$S$16,R$33,0)&gt;10000000,OFFSET(家賃シミュレーションシート!$O$16,R$33,0)+OFFSET(家賃シミュレーションシート!$S$16,R$33,0)&lt;=20000000,OFFSET(家賃シミュレーションシート!$E$16,R$33,0)&lt;65),"●","-")</f>
        <v>-</v>
      </c>
      <c r="S38" s="3">
        <f ca="1">OFFSET(家賃シミュレーションシート!$Q$16,S$33,0)*0.85-585000</f>
        <v>-585000</v>
      </c>
      <c r="T38" s="23" t="str">
        <f ca="1">IF(AND(OFFSET(家賃シミュレーションシート!$Q$16,T$33,0)&gt;=$B38,OFFSET(家賃シミュレーションシート!$Q$16,T$33,0)&lt;=$C38,OFFSET(家賃シミュレーションシート!$O$16,T$33,0)+OFFSET(家賃シミュレーションシート!$S$16,T$33,0)&gt;10000000,OFFSET(家賃シミュレーションシート!$O$16,T$33,0)+OFFSET(家賃シミュレーションシート!$S$16,T$33,0)&lt;=20000000,OFFSET(家賃シミュレーションシート!$E$16,T$33,0)&lt;65),"●","-")</f>
        <v>-</v>
      </c>
    </row>
    <row r="39" spans="1:20" ht="18" customHeight="1" x14ac:dyDescent="0.15">
      <c r="A39" s="17"/>
      <c r="B39" s="3">
        <v>7700000</v>
      </c>
      <c r="C39" s="3">
        <v>9999999</v>
      </c>
      <c r="D39" s="8" t="s">
        <v>24</v>
      </c>
      <c r="E39" s="3">
        <f ca="1">OFFSET(家賃シミュレーションシート!$Q$16,E$33,0)*0.95-1355000</f>
        <v>-1355000</v>
      </c>
      <c r="F39" s="23" t="str">
        <f ca="1">IF(AND(OFFSET(家賃シミュレーションシート!$Q$16,F$33,0)&gt;=$B39,OFFSET(家賃シミュレーションシート!$Q$16,F$33,0)&lt;=$C39,OFFSET(家賃シミュレーションシート!$O$16,F$33,0)+OFFSET(家賃シミュレーションシート!$S$16,F$33,0)&gt;10000000,OFFSET(家賃シミュレーションシート!$O$16,F$33,0)+OFFSET(家賃シミュレーションシート!$S$16,F$33,0)&lt;=20000000,OFFSET(家賃シミュレーションシート!$E$16,F$33,0)&lt;65),"●","-")</f>
        <v>-</v>
      </c>
      <c r="G39" s="3">
        <f ca="1">OFFSET(家賃シミュレーションシート!$Q$16,G$33,0)*0.95-1355000</f>
        <v>-1355000</v>
      </c>
      <c r="H39" s="23" t="str">
        <f ca="1">IF(AND(OFFSET(家賃シミュレーションシート!$Q$16,H$33,0)&gt;=$B39,OFFSET(家賃シミュレーションシート!$Q$16,H$33,0)&lt;=$C39,OFFSET(家賃シミュレーションシート!$O$16,H$33,0)+OFFSET(家賃シミュレーションシート!$S$16,H$33,0)&gt;10000000,OFFSET(家賃シミュレーションシート!$O$16,H$33,0)+OFFSET(家賃シミュレーションシート!$S$16,H$33,0)&lt;=20000000,OFFSET(家賃シミュレーションシート!$E$16,H$33,0)&lt;65),"●","-")</f>
        <v>-</v>
      </c>
      <c r="I39" s="3">
        <f ca="1">OFFSET(家賃シミュレーションシート!$Q$16,I$33,0)*0.95-1355000</f>
        <v>-1355000</v>
      </c>
      <c r="J39" s="23" t="str">
        <f ca="1">IF(AND(OFFSET(家賃シミュレーションシート!$Q$16,J$33,0)&gt;=$B39,OFFSET(家賃シミュレーションシート!$Q$16,J$33,0)&lt;=$C39,OFFSET(家賃シミュレーションシート!$O$16,J$33,0)+OFFSET(家賃シミュレーションシート!$S$16,J$33,0)&gt;10000000,OFFSET(家賃シミュレーションシート!$O$16,J$33,0)+OFFSET(家賃シミュレーションシート!$S$16,J$33,0)&lt;=20000000,OFFSET(家賃シミュレーションシート!$E$16,J$33,0)&lt;65),"●","-")</f>
        <v>-</v>
      </c>
      <c r="K39" s="3">
        <f ca="1">OFFSET(家賃シミュレーションシート!$Q$16,K$33,0)*0.95-1355000</f>
        <v>-1355000</v>
      </c>
      <c r="L39" s="23" t="str">
        <f ca="1">IF(AND(OFFSET(家賃シミュレーションシート!$Q$16,L$33,0)&gt;=$B39,OFFSET(家賃シミュレーションシート!$Q$16,L$33,0)&lt;=$C39,OFFSET(家賃シミュレーションシート!$O$16,L$33,0)+OFFSET(家賃シミュレーションシート!$S$16,L$33,0)&gt;10000000,OFFSET(家賃シミュレーションシート!$O$16,L$33,0)+OFFSET(家賃シミュレーションシート!$S$16,L$33,0)&lt;=20000000,OFFSET(家賃シミュレーションシート!$E$16,L$33,0)&lt;65),"●","-")</f>
        <v>-</v>
      </c>
      <c r="M39" s="3">
        <f ca="1">OFFSET(家賃シミュレーションシート!$Q$16,M$33,0)*0.95-1355000</f>
        <v>-1355000</v>
      </c>
      <c r="N39" s="23" t="str">
        <f ca="1">IF(AND(OFFSET(家賃シミュレーションシート!$Q$16,N$33,0)&gt;=$B39,OFFSET(家賃シミュレーションシート!$Q$16,N$33,0)&lt;=$C39,OFFSET(家賃シミュレーションシート!$O$16,N$33,0)+OFFSET(家賃シミュレーションシート!$S$16,N$33,0)&gt;10000000,OFFSET(家賃シミュレーションシート!$O$16,N$33,0)+OFFSET(家賃シミュレーションシート!$S$16,N$33,0)&lt;=20000000,OFFSET(家賃シミュレーションシート!$E$16,N$33,0)&lt;65),"●","-")</f>
        <v>-</v>
      </c>
      <c r="O39" s="3">
        <f ca="1">OFFSET(家賃シミュレーションシート!$Q$16,O$33,0)*0.95-1355000</f>
        <v>-1355000</v>
      </c>
      <c r="P39" s="23" t="str">
        <f ca="1">IF(AND(OFFSET(家賃シミュレーションシート!$Q$16,P$33,0)&gt;=$B39,OFFSET(家賃シミュレーションシート!$Q$16,P$33,0)&lt;=$C39,OFFSET(家賃シミュレーションシート!$O$16,P$33,0)+OFFSET(家賃シミュレーションシート!$S$16,P$33,0)&gt;10000000,OFFSET(家賃シミュレーションシート!$O$16,P$33,0)+OFFSET(家賃シミュレーションシート!$S$16,P$33,0)&lt;=20000000,OFFSET(家賃シミュレーションシート!$E$16,P$33,0)&lt;65),"●","-")</f>
        <v>-</v>
      </c>
      <c r="Q39" s="3">
        <f ca="1">OFFSET(家賃シミュレーションシート!$Q$16,Q$33,0)*0.95-1355000</f>
        <v>-1355000</v>
      </c>
      <c r="R39" s="23" t="str">
        <f ca="1">IF(AND(OFFSET(家賃シミュレーションシート!$Q$16,R$33,0)&gt;=$B39,OFFSET(家賃シミュレーションシート!$Q$16,R$33,0)&lt;=$C39,OFFSET(家賃シミュレーションシート!$O$16,R$33,0)+OFFSET(家賃シミュレーションシート!$S$16,R$33,0)&gt;10000000,OFFSET(家賃シミュレーションシート!$O$16,R$33,0)+OFFSET(家賃シミュレーションシート!$S$16,R$33,0)&lt;=20000000,OFFSET(家賃シミュレーションシート!$E$16,R$33,0)&lt;65),"●","-")</f>
        <v>-</v>
      </c>
      <c r="S39" s="3">
        <f ca="1">OFFSET(家賃シミュレーションシート!$Q$16,S$33,0)*0.95-1355000</f>
        <v>-1355000</v>
      </c>
      <c r="T39" s="23" t="str">
        <f ca="1">IF(AND(OFFSET(家賃シミュレーションシート!$Q$16,T$33,0)&gt;=$B39,OFFSET(家賃シミュレーションシート!$Q$16,T$33,0)&lt;=$C39,OFFSET(家賃シミュレーションシート!$O$16,T$33,0)+OFFSET(家賃シミュレーションシート!$S$16,T$33,0)&gt;10000000,OFFSET(家賃シミュレーションシート!$O$16,T$33,0)+OFFSET(家賃シミュレーションシート!$S$16,T$33,0)&lt;=20000000,OFFSET(家賃シミュレーションシート!$E$16,T$33,0)&lt;65),"●","-")</f>
        <v>-</v>
      </c>
    </row>
    <row r="40" spans="1:20" ht="18" customHeight="1" x14ac:dyDescent="0.15">
      <c r="A40" s="17"/>
      <c r="B40" s="3">
        <v>10000000</v>
      </c>
      <c r="C40" s="3"/>
      <c r="D40" s="8" t="s">
        <v>25</v>
      </c>
      <c r="E40" s="3">
        <f ca="1">OFFSET(家賃シミュレーションシート!$Q$16,E$33,0)-1855000</f>
        <v>-1855000</v>
      </c>
      <c r="F40" s="23" t="str">
        <f ca="1">IF(AND(OFFSET(家賃シミュレーションシート!$Q$16,F$33,0)&gt;=$B40,OFFSET(家賃シミュレーションシート!$O$16,F$33,0)+OFFSET(家賃シミュレーションシート!$S$16,F$33,0)&gt;10000000,OFFSET(家賃シミュレーションシート!$O$16,F$33,0)+OFFSET(家賃シミュレーションシート!$S$16,F$33,0)&lt;=20000000,OFFSET(家賃シミュレーションシート!$E$16,F$33,0)&lt;65),"●","-")</f>
        <v>-</v>
      </c>
      <c r="G40" s="3">
        <f ca="1">OFFSET(家賃シミュレーションシート!$Q$16,G$33,0)-1855000</f>
        <v>-1855000</v>
      </c>
      <c r="H40" s="23" t="str">
        <f ca="1">IF(AND(OFFSET(家賃シミュレーションシート!$Q$16,H$33,0)&gt;=$B40,OFFSET(家賃シミュレーションシート!$O$16,H$33,0)+OFFSET(家賃シミュレーションシート!$S$16,H$33,0)&gt;10000000,OFFSET(家賃シミュレーションシート!$O$16,H$33,0)+OFFSET(家賃シミュレーションシート!$S$16,H$33,0)&lt;=20000000,OFFSET(家賃シミュレーションシート!$E$16,H$33,0)&lt;65),"●","-")</f>
        <v>-</v>
      </c>
      <c r="I40" s="3">
        <f ca="1">OFFSET(家賃シミュレーションシート!$Q$16,I$33,0)-1855000</f>
        <v>-1855000</v>
      </c>
      <c r="J40" s="23" t="str">
        <f ca="1">IF(AND(OFFSET(家賃シミュレーションシート!$Q$16,J$33,0)&gt;=$B40,OFFSET(家賃シミュレーションシート!$O$16,J$33,0)+OFFSET(家賃シミュレーションシート!$S$16,J$33,0)&gt;10000000,OFFSET(家賃シミュレーションシート!$O$16,J$33,0)+OFFSET(家賃シミュレーションシート!$S$16,J$33,0)&lt;=20000000,OFFSET(家賃シミュレーションシート!$E$16,J$33,0)&lt;65),"●","-")</f>
        <v>-</v>
      </c>
      <c r="K40" s="3">
        <f ca="1">OFFSET(家賃シミュレーションシート!$Q$16,K$33,0)-1855000</f>
        <v>-1855000</v>
      </c>
      <c r="L40" s="23" t="str">
        <f ca="1">IF(AND(OFFSET(家賃シミュレーションシート!$Q$16,L$33,0)&gt;=$B40,OFFSET(家賃シミュレーションシート!$O$16,L$33,0)+OFFSET(家賃シミュレーションシート!$S$16,L$33,0)&gt;10000000,OFFSET(家賃シミュレーションシート!$O$16,L$33,0)+OFFSET(家賃シミュレーションシート!$S$16,L$33,0)&lt;=20000000,OFFSET(家賃シミュレーションシート!$E$16,L$33,0)&lt;65),"●","-")</f>
        <v>-</v>
      </c>
      <c r="M40" s="3">
        <f ca="1">OFFSET(家賃シミュレーションシート!$Q$16,M$33,0)-1855000</f>
        <v>-1855000</v>
      </c>
      <c r="N40" s="23" t="str">
        <f ca="1">IF(AND(OFFSET(家賃シミュレーションシート!$Q$16,N$33,0)&gt;=$B40,OFFSET(家賃シミュレーションシート!$O$16,N$33,0)+OFFSET(家賃シミュレーションシート!$S$16,N$33,0)&gt;10000000,OFFSET(家賃シミュレーションシート!$O$16,N$33,0)+OFFSET(家賃シミュレーションシート!$S$16,N$33,0)&lt;=20000000,OFFSET(家賃シミュレーションシート!$E$16,N$33,0)&lt;65),"●","-")</f>
        <v>-</v>
      </c>
      <c r="O40" s="3">
        <f ca="1">OFFSET(家賃シミュレーションシート!$Q$16,O$33,0)-1855000</f>
        <v>-1855000</v>
      </c>
      <c r="P40" s="23" t="str">
        <f ca="1">IF(AND(OFFSET(家賃シミュレーションシート!$Q$16,P$33,0)&gt;=$B40,OFFSET(家賃シミュレーションシート!$O$16,P$33,0)+OFFSET(家賃シミュレーションシート!$S$16,P$33,0)&gt;10000000,OFFSET(家賃シミュレーションシート!$O$16,P$33,0)+OFFSET(家賃シミュレーションシート!$S$16,P$33,0)&lt;=20000000,OFFSET(家賃シミュレーションシート!$E$16,P$33,0)&lt;65),"●","-")</f>
        <v>-</v>
      </c>
      <c r="Q40" s="3">
        <f ca="1">OFFSET(家賃シミュレーションシート!$Q$16,Q$33,0)-1855000</f>
        <v>-1855000</v>
      </c>
      <c r="R40" s="23" t="str">
        <f ca="1">IF(AND(OFFSET(家賃シミュレーションシート!$Q$16,R$33,0)&gt;=$B40,OFFSET(家賃シミュレーションシート!$O$16,R$33,0)+OFFSET(家賃シミュレーションシート!$S$16,R$33,0)&gt;10000000,OFFSET(家賃シミュレーションシート!$O$16,R$33,0)+OFFSET(家賃シミュレーションシート!$S$16,R$33,0)&lt;=20000000,OFFSET(家賃シミュレーションシート!$E$16,R$33,0)&lt;65),"●","-")</f>
        <v>-</v>
      </c>
      <c r="S40" s="3">
        <f ca="1">OFFSET(家賃シミュレーションシート!$Q$16,S$33,0)-1855000</f>
        <v>-1855000</v>
      </c>
      <c r="T40" s="23" t="str">
        <f ca="1">IF(AND(OFFSET(家賃シミュレーションシート!$Q$16,T$33,0)&gt;=$B40,OFFSET(家賃シミュレーションシート!$O$16,T$33,0)+OFFSET(家賃シミュレーションシート!$S$16,T$33,0)&gt;10000000,OFFSET(家賃シミュレーションシート!$O$16,T$33,0)+OFFSET(家賃シミュレーションシート!$S$16,T$33,0)&lt;=20000000,OFFSET(家賃シミュレーションシート!$E$16,T$33,0)&lt;65),"●","-")</f>
        <v>-</v>
      </c>
    </row>
    <row r="41" spans="1:20" ht="18" customHeight="1" x14ac:dyDescent="0.15">
      <c r="A41" s="17"/>
      <c r="B41" s="1" t="s">
        <v>17</v>
      </c>
    </row>
    <row r="42" spans="1:20" ht="18" customHeight="1" x14ac:dyDescent="0.15">
      <c r="A42" s="17"/>
      <c r="B42" s="11" t="s">
        <v>10</v>
      </c>
      <c r="C42" s="11"/>
      <c r="D42" s="15" t="s">
        <v>11</v>
      </c>
      <c r="E42" s="2">
        <v>0</v>
      </c>
      <c r="F42" s="2">
        <v>0</v>
      </c>
      <c r="G42" s="2">
        <v>2</v>
      </c>
      <c r="H42" s="2">
        <v>2</v>
      </c>
      <c r="I42" s="2">
        <v>4</v>
      </c>
      <c r="J42" s="2">
        <v>4</v>
      </c>
      <c r="K42" s="2">
        <v>6</v>
      </c>
      <c r="L42" s="2">
        <v>6</v>
      </c>
      <c r="M42" s="2">
        <v>8</v>
      </c>
      <c r="N42" s="2">
        <v>8</v>
      </c>
      <c r="O42" s="2">
        <v>10</v>
      </c>
      <c r="P42" s="2">
        <v>10</v>
      </c>
      <c r="Q42" s="2">
        <v>12</v>
      </c>
      <c r="R42" s="2">
        <v>12</v>
      </c>
      <c r="S42" s="2">
        <v>14</v>
      </c>
      <c r="T42" s="2">
        <v>14</v>
      </c>
    </row>
    <row r="43" spans="1:20" ht="18" customHeight="1" x14ac:dyDescent="0.15">
      <c r="A43" s="17"/>
      <c r="B43" s="13" t="s">
        <v>2</v>
      </c>
      <c r="C43" s="13" t="s">
        <v>3</v>
      </c>
      <c r="D43" s="14" t="s">
        <v>4</v>
      </c>
      <c r="E43" s="22" t="s">
        <v>45</v>
      </c>
      <c r="F43" s="22"/>
      <c r="G43" s="22" t="s">
        <v>38</v>
      </c>
      <c r="H43" s="22"/>
      <c r="I43" s="22" t="s">
        <v>39</v>
      </c>
      <c r="J43" s="22"/>
      <c r="K43" s="22" t="s">
        <v>40</v>
      </c>
      <c r="L43" s="22"/>
      <c r="M43" s="22" t="s">
        <v>41</v>
      </c>
      <c r="N43" s="22"/>
      <c r="O43" s="22" t="s">
        <v>42</v>
      </c>
      <c r="P43" s="22"/>
      <c r="Q43" s="22" t="s">
        <v>467</v>
      </c>
      <c r="R43" s="22"/>
      <c r="S43" s="22" t="s">
        <v>468</v>
      </c>
      <c r="T43" s="22"/>
    </row>
    <row r="44" spans="1:20" ht="18" customHeight="1" x14ac:dyDescent="0.15">
      <c r="A44" s="17"/>
      <c r="B44" s="3"/>
      <c r="C44" s="3">
        <v>1000000</v>
      </c>
      <c r="D44" s="8">
        <v>0</v>
      </c>
      <c r="E44" s="3">
        <v>0</v>
      </c>
      <c r="F44" s="23" t="str">
        <f ca="1">IF(AND(OFFSET(家賃シミュレーションシート!$Q$16,F$42,0)&lt;=$C44,OFFSET(家賃シミュレーションシート!$O$16,F$42,0)+OFFSET(家賃シミュレーションシート!$S$16,F$42,0)&gt;10000000,OFFSET(家賃シミュレーションシート!$O$16,F$42,0)+OFFSET(家賃シミュレーションシート!$S$16,F$42,0)&lt;=20000000,OFFSET(家賃シミュレーションシート!$E$16,F$42,0)&gt;=65),"●","-")</f>
        <v>-</v>
      </c>
      <c r="G44" s="3">
        <v>0</v>
      </c>
      <c r="H44" s="23" t="str">
        <f ca="1">IF(AND(OFFSET(家賃シミュレーションシート!$Q$16,H$42,0)&lt;=$C44,OFFSET(家賃シミュレーションシート!$O$16,H$42,0)+OFFSET(家賃シミュレーションシート!$S$16,H$42,0)&gt;10000000,OFFSET(家賃シミュレーションシート!$O$16,H$42,0)+OFFSET(家賃シミュレーションシート!$S$16,H$42,0)&lt;=20000000,OFFSET(家賃シミュレーションシート!$E$16,H$42,0)&gt;=65),"●","-")</f>
        <v>-</v>
      </c>
      <c r="I44" s="3">
        <v>0</v>
      </c>
      <c r="J44" s="23" t="str">
        <f ca="1">IF(AND(OFFSET(家賃シミュレーションシート!$Q$16,J$42,0)&lt;=$C44,OFFSET(家賃シミュレーションシート!$O$16,J$42,0)+OFFSET(家賃シミュレーションシート!$S$16,J$42,0)&gt;10000000,OFFSET(家賃シミュレーションシート!$O$16,J$42,0)+OFFSET(家賃シミュレーションシート!$S$16,J$42,0)&lt;=20000000,OFFSET(家賃シミュレーションシート!$E$16,J$42,0)&gt;=65),"●","-")</f>
        <v>-</v>
      </c>
      <c r="K44" s="3">
        <v>0</v>
      </c>
      <c r="L44" s="23" t="str">
        <f ca="1">IF(AND(OFFSET(家賃シミュレーションシート!$Q$16,L$42,0)&lt;=$C44,OFFSET(家賃シミュレーションシート!$O$16,L$42,0)+OFFSET(家賃シミュレーションシート!$S$16,L$42,0)&gt;10000000,OFFSET(家賃シミュレーションシート!$O$16,L$42,0)+OFFSET(家賃シミュレーションシート!$S$16,L$42,0)&lt;=20000000,OFFSET(家賃シミュレーションシート!$E$16,L$42,0)&gt;=65),"●","-")</f>
        <v>-</v>
      </c>
      <c r="M44" s="3">
        <v>0</v>
      </c>
      <c r="N44" s="23" t="str">
        <f ca="1">IF(AND(OFFSET(家賃シミュレーションシート!$Q$16,N$42,0)&lt;=$C44,OFFSET(家賃シミュレーションシート!$O$16,N$42,0)+OFFSET(家賃シミュレーションシート!$S$16,N$42,0)&gt;10000000,OFFSET(家賃シミュレーションシート!$O$16,N$42,0)+OFFSET(家賃シミュレーションシート!$S$16,N$42,0)&lt;=20000000,OFFSET(家賃シミュレーションシート!$E$16,N$42,0)&gt;=65),"●","-")</f>
        <v>-</v>
      </c>
      <c r="O44" s="3">
        <v>0</v>
      </c>
      <c r="P44" s="23" t="str">
        <f ca="1">IF(AND(OFFSET(家賃シミュレーションシート!$Q$16,P$42,0)&lt;=$C44,OFFSET(家賃シミュレーションシート!$O$16,P$42,0)+OFFSET(家賃シミュレーションシート!$S$16,P$42,0)&gt;10000000,OFFSET(家賃シミュレーションシート!$O$16,P$42,0)+OFFSET(家賃シミュレーションシート!$S$16,P$42,0)&lt;=20000000,OFFSET(家賃シミュレーションシート!$E$16,P$42,0)&gt;=65),"●","-")</f>
        <v>-</v>
      </c>
      <c r="Q44" s="3">
        <v>0</v>
      </c>
      <c r="R44" s="23" t="str">
        <f ca="1">IF(AND(OFFSET(家賃シミュレーションシート!$Q$16,R$42,0)&lt;=$C44,OFFSET(家賃シミュレーションシート!$O$16,R$42,0)+OFFSET(家賃シミュレーションシート!$S$16,R$42,0)&gt;10000000,OFFSET(家賃シミュレーションシート!$O$16,R$42,0)+OFFSET(家賃シミュレーションシート!$S$16,R$42,0)&lt;=20000000,OFFSET(家賃シミュレーションシート!$E$16,R$42,0)&gt;=65),"●","-")</f>
        <v>-</v>
      </c>
      <c r="S44" s="3">
        <v>0</v>
      </c>
      <c r="T44" s="23" t="str">
        <f ca="1">IF(AND(OFFSET(家賃シミュレーションシート!$Q$16,T$42,0)&lt;=$C44,OFFSET(家賃シミュレーションシート!$O$16,T$42,0)+OFFSET(家賃シミュレーションシート!$S$16,T$42,0)&gt;10000000,OFFSET(家賃シミュレーションシート!$O$16,T$42,0)+OFFSET(家賃シミュレーションシート!$S$16,T$42,0)&lt;=20000000,OFFSET(家賃シミュレーションシート!$E$16,T$42,0)&gt;=65),"●","-")</f>
        <v>-</v>
      </c>
    </row>
    <row r="45" spans="1:20" ht="18" customHeight="1" x14ac:dyDescent="0.15">
      <c r="A45" s="17"/>
      <c r="B45" s="3">
        <v>1000001</v>
      </c>
      <c r="C45" s="3">
        <v>3299999</v>
      </c>
      <c r="D45" s="8" t="s">
        <v>26</v>
      </c>
      <c r="E45" s="3">
        <f ca="1">OFFSET(家賃シミュレーションシート!$Q$16,E$42,0)-1000000</f>
        <v>-1000000</v>
      </c>
      <c r="F45" s="23" t="str">
        <f ca="1">IF(AND(OFFSET(家賃シミュレーションシート!$Q$16,F$42,0)&gt;=$B45,OFFSET(家賃シミュレーションシート!$Q$16,F$42,0)&lt;=$C45,OFFSET(家賃シミュレーションシート!$O$16,F$42,0)+OFFSET(家賃シミュレーションシート!$S$16,F$42,0)&gt;10000000,OFFSET(家賃シミュレーションシート!$O$16,F$42,0)+OFFSET(家賃シミュレーションシート!$S$16,F$42,0)&lt;=20000000,OFFSET(家賃シミュレーションシート!$E$16,F$42,0)&gt;=65),"●","-")</f>
        <v>-</v>
      </c>
      <c r="G45" s="3">
        <f ca="1">OFFSET(家賃シミュレーションシート!$Q$16,G$42,0)-1000000</f>
        <v>-1000000</v>
      </c>
      <c r="H45" s="23" t="str">
        <f ca="1">IF(AND(OFFSET(家賃シミュレーションシート!$Q$16,H$42,0)&gt;=$B45,OFFSET(家賃シミュレーションシート!$Q$16,H$42,0)&lt;=$C45,OFFSET(家賃シミュレーションシート!$O$16,H$42,0)+OFFSET(家賃シミュレーションシート!$S$16,H$42,0)&gt;10000000,OFFSET(家賃シミュレーションシート!$O$16,H$42,0)+OFFSET(家賃シミュレーションシート!$S$16,H$42,0)&lt;=20000000,OFFSET(家賃シミュレーションシート!$E$16,H$42,0)&gt;=65),"●","-")</f>
        <v>-</v>
      </c>
      <c r="I45" s="3">
        <f ca="1">OFFSET(家賃シミュレーションシート!$Q$16,I$42,0)-1000000</f>
        <v>-1000000</v>
      </c>
      <c r="J45" s="23" t="str">
        <f ca="1">IF(AND(OFFSET(家賃シミュレーションシート!$Q$16,J$42,0)&gt;=$B45,OFFSET(家賃シミュレーションシート!$Q$16,J$42,0)&lt;=$C45,OFFSET(家賃シミュレーションシート!$O$16,J$42,0)+OFFSET(家賃シミュレーションシート!$S$16,J$42,0)&gt;10000000,OFFSET(家賃シミュレーションシート!$O$16,J$42,0)+OFFSET(家賃シミュレーションシート!$S$16,J$42,0)&lt;=20000000,OFFSET(家賃シミュレーションシート!$E$16,J$42,0)&gt;=65),"●","-")</f>
        <v>-</v>
      </c>
      <c r="K45" s="3">
        <f ca="1">OFFSET(家賃シミュレーションシート!$Q$16,K$42,0)-1000000</f>
        <v>-1000000</v>
      </c>
      <c r="L45" s="23" t="str">
        <f ca="1">IF(AND(OFFSET(家賃シミュレーションシート!$Q$16,L$42,0)&gt;=$B45,OFFSET(家賃シミュレーションシート!$Q$16,L$42,0)&lt;=$C45,OFFSET(家賃シミュレーションシート!$O$16,L$42,0)+OFFSET(家賃シミュレーションシート!$S$16,L$42,0)&gt;10000000,OFFSET(家賃シミュレーションシート!$O$16,L$42,0)+OFFSET(家賃シミュレーションシート!$S$16,L$42,0)&lt;=20000000,OFFSET(家賃シミュレーションシート!$E$16,L$42,0)&gt;=65),"●","-")</f>
        <v>-</v>
      </c>
      <c r="M45" s="3">
        <f ca="1">OFFSET(家賃シミュレーションシート!$Q$16,M$42,0)-1000000</f>
        <v>-1000000</v>
      </c>
      <c r="N45" s="23" t="str">
        <f ca="1">IF(AND(OFFSET(家賃シミュレーションシート!$Q$16,N$42,0)&gt;=$B45,OFFSET(家賃シミュレーションシート!$Q$16,N$42,0)&lt;=$C45,OFFSET(家賃シミュレーションシート!$O$16,N$42,0)+OFFSET(家賃シミュレーションシート!$S$16,N$42,0)&gt;10000000,OFFSET(家賃シミュレーションシート!$O$16,N$42,0)+OFFSET(家賃シミュレーションシート!$S$16,N$42,0)&lt;=20000000,OFFSET(家賃シミュレーションシート!$E$16,N$42,0)&gt;=65),"●","-")</f>
        <v>-</v>
      </c>
      <c r="O45" s="3">
        <f ca="1">OFFSET(家賃シミュレーションシート!$Q$16,O$42,0)-1000000</f>
        <v>-1000000</v>
      </c>
      <c r="P45" s="23" t="str">
        <f ca="1">IF(AND(OFFSET(家賃シミュレーションシート!$Q$16,P$42,0)&gt;=$B45,OFFSET(家賃シミュレーションシート!$Q$16,P$42,0)&lt;=$C45,OFFSET(家賃シミュレーションシート!$O$16,P$42,0)+OFFSET(家賃シミュレーションシート!$S$16,P$42,0)&gt;10000000,OFFSET(家賃シミュレーションシート!$O$16,P$42,0)+OFFSET(家賃シミュレーションシート!$S$16,P$42,0)&lt;=20000000,OFFSET(家賃シミュレーションシート!$E$16,P$42,0)&gt;=65),"●","-")</f>
        <v>-</v>
      </c>
      <c r="Q45" s="3">
        <f ca="1">OFFSET(家賃シミュレーションシート!$Q$16,Q$42,0)-1000000</f>
        <v>-1000000</v>
      </c>
      <c r="R45" s="23" t="str">
        <f ca="1">IF(AND(OFFSET(家賃シミュレーションシート!$Q$16,R$42,0)&gt;=$B45,OFFSET(家賃シミュレーションシート!$Q$16,R$42,0)&lt;=$C45,OFFSET(家賃シミュレーションシート!$O$16,R$42,0)+OFFSET(家賃シミュレーションシート!$S$16,R$42,0)&gt;10000000,OFFSET(家賃シミュレーションシート!$O$16,R$42,0)+OFFSET(家賃シミュレーションシート!$S$16,R$42,0)&lt;=20000000,OFFSET(家賃シミュレーションシート!$E$16,R$42,0)&gt;=65),"●","-")</f>
        <v>-</v>
      </c>
      <c r="S45" s="3">
        <f ca="1">OFFSET(家賃シミュレーションシート!$Q$16,S$42,0)-1000000</f>
        <v>-1000000</v>
      </c>
      <c r="T45" s="23" t="str">
        <f ca="1">IF(AND(OFFSET(家賃シミュレーションシート!$Q$16,T$42,0)&gt;=$B45,OFFSET(家賃シミュレーションシート!$Q$16,T$42,0)&lt;=$C45,OFFSET(家賃シミュレーションシート!$O$16,T$42,0)+OFFSET(家賃シミュレーションシート!$S$16,T$42,0)&gt;10000000,OFFSET(家賃シミュレーションシート!$O$16,T$42,0)+OFFSET(家賃シミュレーションシート!$S$16,T$42,0)&lt;=20000000,OFFSET(家賃シミュレーションシート!$E$16,T$42,0)&gt;=65),"●","-")</f>
        <v>-</v>
      </c>
    </row>
    <row r="46" spans="1:20" ht="18" customHeight="1" x14ac:dyDescent="0.15">
      <c r="A46" s="17"/>
      <c r="B46" s="3">
        <v>3300000</v>
      </c>
      <c r="C46" s="3">
        <v>4099999</v>
      </c>
      <c r="D46" s="8" t="s">
        <v>22</v>
      </c>
      <c r="E46" s="3">
        <f ca="1">OFFSET(家賃シミュレーションシート!$Q$16,E$42,0)*0.75-175000</f>
        <v>-175000</v>
      </c>
      <c r="F46" s="23" t="str">
        <f ca="1">IF(AND(OFFSET(家賃シミュレーションシート!$Q$16,F$42,0)&gt;=$B46,OFFSET(家賃シミュレーションシート!$Q$16,F$42,0)&lt;=$C46,OFFSET(家賃シミュレーションシート!$O$16,F$42,0)+OFFSET(家賃シミュレーションシート!$S$16,F$42,0)&gt;10000000,OFFSET(家賃シミュレーションシート!$O$16,F$42,0)+OFFSET(家賃シミュレーションシート!$S$16,F$42,0)&lt;=20000000,OFFSET(家賃シミュレーションシート!$E$16,F$42,0)&gt;=65),"●","-")</f>
        <v>-</v>
      </c>
      <c r="G46" s="3">
        <f ca="1">OFFSET(家賃シミュレーションシート!$Q$16,G$42,0)*0.75-175000</f>
        <v>-175000</v>
      </c>
      <c r="H46" s="23" t="str">
        <f ca="1">IF(AND(OFFSET(家賃シミュレーションシート!$Q$16,H$42,0)&gt;=$B46,OFFSET(家賃シミュレーションシート!$Q$16,H$42,0)&lt;=$C46,OFFSET(家賃シミュレーションシート!$O$16,H$42,0)+OFFSET(家賃シミュレーションシート!$S$16,H$42,0)&gt;10000000,OFFSET(家賃シミュレーションシート!$O$16,H$42,0)+OFFSET(家賃シミュレーションシート!$S$16,H$42,0)&lt;=20000000,OFFSET(家賃シミュレーションシート!$E$16,H$42,0)&gt;=65),"●","-")</f>
        <v>-</v>
      </c>
      <c r="I46" s="3">
        <f ca="1">OFFSET(家賃シミュレーションシート!$Q$16,I$42,0)*0.75-175000</f>
        <v>-175000</v>
      </c>
      <c r="J46" s="23" t="str">
        <f ca="1">IF(AND(OFFSET(家賃シミュレーションシート!$Q$16,J$42,0)&gt;=$B46,OFFSET(家賃シミュレーションシート!$Q$16,J$42,0)&lt;=$C46,OFFSET(家賃シミュレーションシート!$O$16,J$42,0)+OFFSET(家賃シミュレーションシート!$S$16,J$42,0)&gt;10000000,OFFSET(家賃シミュレーションシート!$O$16,J$42,0)+OFFSET(家賃シミュレーションシート!$S$16,J$42,0)&lt;=20000000,OFFSET(家賃シミュレーションシート!$E$16,J$42,0)&gt;=65),"●","-")</f>
        <v>-</v>
      </c>
      <c r="K46" s="3">
        <f ca="1">OFFSET(家賃シミュレーションシート!$Q$16,K$42,0)*0.75-175000</f>
        <v>-175000</v>
      </c>
      <c r="L46" s="23" t="str">
        <f ca="1">IF(AND(OFFSET(家賃シミュレーションシート!$Q$16,L$42,0)&gt;=$B46,OFFSET(家賃シミュレーションシート!$Q$16,L$42,0)&lt;=$C46,OFFSET(家賃シミュレーションシート!$O$16,L$42,0)+OFFSET(家賃シミュレーションシート!$S$16,L$42,0)&gt;10000000,OFFSET(家賃シミュレーションシート!$O$16,L$42,0)+OFFSET(家賃シミュレーションシート!$S$16,L$42,0)&lt;=20000000,OFFSET(家賃シミュレーションシート!$E$16,L$42,0)&gt;=65),"●","-")</f>
        <v>-</v>
      </c>
      <c r="M46" s="3">
        <f ca="1">OFFSET(家賃シミュレーションシート!$Q$16,M$42,0)*0.75-175000</f>
        <v>-175000</v>
      </c>
      <c r="N46" s="23" t="str">
        <f ca="1">IF(AND(OFFSET(家賃シミュレーションシート!$Q$16,N$42,0)&gt;=$B46,OFFSET(家賃シミュレーションシート!$Q$16,N$42,0)&lt;=$C46,OFFSET(家賃シミュレーションシート!$O$16,N$42,0)+OFFSET(家賃シミュレーションシート!$S$16,N$42,0)&gt;10000000,OFFSET(家賃シミュレーションシート!$O$16,N$42,0)+OFFSET(家賃シミュレーションシート!$S$16,N$42,0)&lt;=20000000,OFFSET(家賃シミュレーションシート!$E$16,N$42,0)&gt;=65),"●","-")</f>
        <v>-</v>
      </c>
      <c r="O46" s="3">
        <f ca="1">OFFSET(家賃シミュレーションシート!$Q$16,O$42,0)*0.75-175000</f>
        <v>-175000</v>
      </c>
      <c r="P46" s="23" t="str">
        <f ca="1">IF(AND(OFFSET(家賃シミュレーションシート!$Q$16,P$42,0)&gt;=$B46,OFFSET(家賃シミュレーションシート!$Q$16,P$42,0)&lt;=$C46,OFFSET(家賃シミュレーションシート!$O$16,P$42,0)+OFFSET(家賃シミュレーションシート!$S$16,P$42,0)&gt;10000000,OFFSET(家賃シミュレーションシート!$O$16,P$42,0)+OFFSET(家賃シミュレーションシート!$S$16,P$42,0)&lt;=20000000,OFFSET(家賃シミュレーションシート!$E$16,P$42,0)&gt;=65),"●","-")</f>
        <v>-</v>
      </c>
      <c r="Q46" s="3">
        <f ca="1">OFFSET(家賃シミュレーションシート!$Q$16,Q$42,0)*0.75-175000</f>
        <v>-175000</v>
      </c>
      <c r="R46" s="23" t="str">
        <f ca="1">IF(AND(OFFSET(家賃シミュレーションシート!$Q$16,R$42,0)&gt;=$B46,OFFSET(家賃シミュレーションシート!$Q$16,R$42,0)&lt;=$C46,OFFSET(家賃シミュレーションシート!$O$16,R$42,0)+OFFSET(家賃シミュレーションシート!$S$16,R$42,0)&gt;10000000,OFFSET(家賃シミュレーションシート!$O$16,R$42,0)+OFFSET(家賃シミュレーションシート!$S$16,R$42,0)&lt;=20000000,OFFSET(家賃シミュレーションシート!$E$16,R$42,0)&gt;=65),"●","-")</f>
        <v>-</v>
      </c>
      <c r="S46" s="3">
        <f ca="1">OFFSET(家賃シミュレーションシート!$Q$16,S$42,0)*0.75-175000</f>
        <v>-175000</v>
      </c>
      <c r="T46" s="23" t="str">
        <f ca="1">IF(AND(OFFSET(家賃シミュレーションシート!$Q$16,T$42,0)&gt;=$B46,OFFSET(家賃シミュレーションシート!$Q$16,T$42,0)&lt;=$C46,OFFSET(家賃シミュレーションシート!$O$16,T$42,0)+OFFSET(家賃シミュレーションシート!$S$16,T$42,0)&gt;10000000,OFFSET(家賃シミュレーションシート!$O$16,T$42,0)+OFFSET(家賃シミュレーションシート!$S$16,T$42,0)&lt;=20000000,OFFSET(家賃シミュレーションシート!$E$16,T$42,0)&gt;=65),"●","-")</f>
        <v>-</v>
      </c>
    </row>
    <row r="47" spans="1:20" ht="18" customHeight="1" x14ac:dyDescent="0.15">
      <c r="A47" s="17"/>
      <c r="B47" s="3">
        <v>4100000</v>
      </c>
      <c r="C47" s="3">
        <v>7699999</v>
      </c>
      <c r="D47" s="8" t="s">
        <v>23</v>
      </c>
      <c r="E47" s="3">
        <f ca="1">OFFSET(家賃シミュレーションシート!$Q$16,E$42,0)*0.85-585000</f>
        <v>-585000</v>
      </c>
      <c r="F47" s="23" t="str">
        <f ca="1">IF(AND(OFFSET(家賃シミュレーションシート!$Q$16,F$42,0)&gt;=$B47,OFFSET(家賃シミュレーションシート!$Q$16,F$42,0)&lt;=$C47,OFFSET(家賃シミュレーションシート!$O$16,F$42,0)+OFFSET(家賃シミュレーションシート!$S$16,F$42,0)&gt;10000000,OFFSET(家賃シミュレーションシート!$O$16,F$42,0)+OFFSET(家賃シミュレーションシート!$S$16,F$42,0)&lt;=20000000,OFFSET(家賃シミュレーションシート!$E$16,F$42,0)&gt;=65),"●","-")</f>
        <v>-</v>
      </c>
      <c r="G47" s="3">
        <f ca="1">OFFSET(家賃シミュレーションシート!$Q$16,G$42,0)*0.85-585000</f>
        <v>-585000</v>
      </c>
      <c r="H47" s="23" t="str">
        <f ca="1">IF(AND(OFFSET(家賃シミュレーションシート!$Q$16,H$42,0)&gt;=$B47,OFFSET(家賃シミュレーションシート!$Q$16,H$42,0)&lt;=$C47,OFFSET(家賃シミュレーションシート!$O$16,H$42,0)+OFFSET(家賃シミュレーションシート!$S$16,H$42,0)&gt;10000000,OFFSET(家賃シミュレーションシート!$O$16,H$42,0)+OFFSET(家賃シミュレーションシート!$S$16,H$42,0)&lt;=20000000,OFFSET(家賃シミュレーションシート!$E$16,H$42,0)&gt;=65),"●","-")</f>
        <v>-</v>
      </c>
      <c r="I47" s="3">
        <f ca="1">OFFSET(家賃シミュレーションシート!$Q$16,I$42,0)*0.85-585000</f>
        <v>-585000</v>
      </c>
      <c r="J47" s="23" t="str">
        <f ca="1">IF(AND(OFFSET(家賃シミュレーションシート!$Q$16,J$42,0)&gt;=$B47,OFFSET(家賃シミュレーションシート!$Q$16,J$42,0)&lt;=$C47,OFFSET(家賃シミュレーションシート!$O$16,J$42,0)+OFFSET(家賃シミュレーションシート!$S$16,J$42,0)&gt;10000000,OFFSET(家賃シミュレーションシート!$O$16,J$42,0)+OFFSET(家賃シミュレーションシート!$S$16,J$42,0)&lt;=20000000,OFFSET(家賃シミュレーションシート!$E$16,J$42,0)&gt;=65),"●","-")</f>
        <v>-</v>
      </c>
      <c r="K47" s="3">
        <f ca="1">OFFSET(家賃シミュレーションシート!$Q$16,K$42,0)*0.85-585000</f>
        <v>-585000</v>
      </c>
      <c r="L47" s="23" t="str">
        <f ca="1">IF(AND(OFFSET(家賃シミュレーションシート!$Q$16,L$42,0)&gt;=$B47,OFFSET(家賃シミュレーションシート!$Q$16,L$42,0)&lt;=$C47,OFFSET(家賃シミュレーションシート!$O$16,L$42,0)+OFFSET(家賃シミュレーションシート!$S$16,L$42,0)&gt;10000000,OFFSET(家賃シミュレーションシート!$O$16,L$42,0)+OFFSET(家賃シミュレーションシート!$S$16,L$42,0)&lt;=20000000,OFFSET(家賃シミュレーションシート!$E$16,L$42,0)&gt;=65),"●","-")</f>
        <v>-</v>
      </c>
      <c r="M47" s="3">
        <f ca="1">OFFSET(家賃シミュレーションシート!$Q$16,M$42,0)*0.85-585000</f>
        <v>-585000</v>
      </c>
      <c r="N47" s="23" t="str">
        <f ca="1">IF(AND(OFFSET(家賃シミュレーションシート!$Q$16,N$42,0)&gt;=$B47,OFFSET(家賃シミュレーションシート!$Q$16,N$42,0)&lt;=$C47,OFFSET(家賃シミュレーションシート!$O$16,N$42,0)+OFFSET(家賃シミュレーションシート!$S$16,N$42,0)&gt;10000000,OFFSET(家賃シミュレーションシート!$O$16,N$42,0)+OFFSET(家賃シミュレーションシート!$S$16,N$42,0)&lt;=20000000,OFFSET(家賃シミュレーションシート!$E$16,N$42,0)&gt;=65),"●","-")</f>
        <v>-</v>
      </c>
      <c r="O47" s="3">
        <f ca="1">OFFSET(家賃シミュレーションシート!$Q$16,O$42,0)*0.85-585000</f>
        <v>-585000</v>
      </c>
      <c r="P47" s="23" t="str">
        <f ca="1">IF(AND(OFFSET(家賃シミュレーションシート!$Q$16,P$42,0)&gt;=$B47,OFFSET(家賃シミュレーションシート!$Q$16,P$42,0)&lt;=$C47,OFFSET(家賃シミュレーションシート!$O$16,P$42,0)+OFFSET(家賃シミュレーションシート!$S$16,P$42,0)&gt;10000000,OFFSET(家賃シミュレーションシート!$O$16,P$42,0)+OFFSET(家賃シミュレーションシート!$S$16,P$42,0)&lt;=20000000,OFFSET(家賃シミュレーションシート!$E$16,P$42,0)&gt;=65),"●","-")</f>
        <v>-</v>
      </c>
      <c r="Q47" s="3">
        <f ca="1">OFFSET(家賃シミュレーションシート!$Q$16,Q$42,0)*0.85-585000</f>
        <v>-585000</v>
      </c>
      <c r="R47" s="23" t="str">
        <f ca="1">IF(AND(OFFSET(家賃シミュレーションシート!$Q$16,R$42,0)&gt;=$B47,OFFSET(家賃シミュレーションシート!$Q$16,R$42,0)&lt;=$C47,OFFSET(家賃シミュレーションシート!$O$16,R$42,0)+OFFSET(家賃シミュレーションシート!$S$16,R$42,0)&gt;10000000,OFFSET(家賃シミュレーションシート!$O$16,R$42,0)+OFFSET(家賃シミュレーションシート!$S$16,R$42,0)&lt;=20000000,OFFSET(家賃シミュレーションシート!$E$16,R$42,0)&gt;=65),"●","-")</f>
        <v>-</v>
      </c>
      <c r="S47" s="3">
        <f ca="1">OFFSET(家賃シミュレーションシート!$Q$16,S$42,0)*0.85-585000</f>
        <v>-585000</v>
      </c>
      <c r="T47" s="23" t="str">
        <f ca="1">IF(AND(OFFSET(家賃シミュレーションシート!$Q$16,T$42,0)&gt;=$B47,OFFSET(家賃シミュレーションシート!$Q$16,T$42,0)&lt;=$C47,OFFSET(家賃シミュレーションシート!$O$16,T$42,0)+OFFSET(家賃シミュレーションシート!$S$16,T$42,0)&gt;10000000,OFFSET(家賃シミュレーションシート!$O$16,T$42,0)+OFFSET(家賃シミュレーションシート!$S$16,T$42,0)&lt;=20000000,OFFSET(家賃シミュレーションシート!$E$16,T$42,0)&gt;=65),"●","-")</f>
        <v>-</v>
      </c>
    </row>
    <row r="48" spans="1:20" ht="18" customHeight="1" x14ac:dyDescent="0.15">
      <c r="A48" s="17"/>
      <c r="B48" s="3">
        <v>7700000</v>
      </c>
      <c r="C48" s="3">
        <v>9999999</v>
      </c>
      <c r="D48" s="8" t="s">
        <v>24</v>
      </c>
      <c r="E48" s="3">
        <f ca="1">OFFSET(家賃シミュレーションシート!$Q$16,E$42,0)*0.95-1355000</f>
        <v>-1355000</v>
      </c>
      <c r="F48" s="23" t="str">
        <f ca="1">IF(AND(OFFSET(家賃シミュレーションシート!$Q$16,F$42,0)&gt;=$B48,OFFSET(家賃シミュレーションシート!$Q$16,F$42,0)&lt;=$C48,OFFSET(家賃シミュレーションシート!$O$16,F$42,0)+OFFSET(家賃シミュレーションシート!$S$16,F$42,0)&gt;10000000,OFFSET(家賃シミュレーションシート!$O$16,F$42,0)+OFFSET(家賃シミュレーションシート!$S$16,F$42,0)&lt;=20000000,OFFSET(家賃シミュレーションシート!$E$16,F$42,0)&gt;=65),"●","-")</f>
        <v>-</v>
      </c>
      <c r="G48" s="3">
        <f ca="1">OFFSET(家賃シミュレーションシート!$Q$16,G$42,0)*0.95-1355000</f>
        <v>-1355000</v>
      </c>
      <c r="H48" s="23" t="str">
        <f ca="1">IF(AND(OFFSET(家賃シミュレーションシート!$Q$16,H$42,0)&gt;=$B48,OFFSET(家賃シミュレーションシート!$Q$16,H$42,0)&lt;=$C48,OFFSET(家賃シミュレーションシート!$O$16,H$42,0)+OFFSET(家賃シミュレーションシート!$S$16,H$42,0)&gt;10000000,OFFSET(家賃シミュレーションシート!$O$16,H$42,0)+OFFSET(家賃シミュレーションシート!$S$16,H$42,0)&lt;=20000000,OFFSET(家賃シミュレーションシート!$E$16,H$42,0)&gt;=65),"●","-")</f>
        <v>-</v>
      </c>
      <c r="I48" s="3">
        <f ca="1">OFFSET(家賃シミュレーションシート!$Q$16,I$42,0)*0.95-1355000</f>
        <v>-1355000</v>
      </c>
      <c r="J48" s="23" t="str">
        <f ca="1">IF(AND(OFFSET(家賃シミュレーションシート!$Q$16,J$42,0)&gt;=$B48,OFFSET(家賃シミュレーションシート!$Q$16,J$42,0)&lt;=$C48,OFFSET(家賃シミュレーションシート!$O$16,J$42,0)+OFFSET(家賃シミュレーションシート!$S$16,J$42,0)&gt;10000000,OFFSET(家賃シミュレーションシート!$O$16,J$42,0)+OFFSET(家賃シミュレーションシート!$S$16,J$42,0)&lt;=20000000,OFFSET(家賃シミュレーションシート!$E$16,J$42,0)&gt;=65),"●","-")</f>
        <v>-</v>
      </c>
      <c r="K48" s="3">
        <f ca="1">OFFSET(家賃シミュレーションシート!$Q$16,K$42,0)*0.95-1355000</f>
        <v>-1355000</v>
      </c>
      <c r="L48" s="23" t="str">
        <f ca="1">IF(AND(OFFSET(家賃シミュレーションシート!$Q$16,L$42,0)&gt;=$B48,OFFSET(家賃シミュレーションシート!$Q$16,L$42,0)&lt;=$C48,OFFSET(家賃シミュレーションシート!$O$16,L$42,0)+OFFSET(家賃シミュレーションシート!$S$16,L$42,0)&gt;10000000,OFFSET(家賃シミュレーションシート!$O$16,L$42,0)+OFFSET(家賃シミュレーションシート!$S$16,L$42,0)&lt;=20000000,OFFSET(家賃シミュレーションシート!$E$16,L$42,0)&gt;=65),"●","-")</f>
        <v>-</v>
      </c>
      <c r="M48" s="3">
        <f ca="1">OFFSET(家賃シミュレーションシート!$Q$16,M$42,0)*0.95-1355000</f>
        <v>-1355000</v>
      </c>
      <c r="N48" s="23" t="str">
        <f ca="1">IF(AND(OFFSET(家賃シミュレーションシート!$Q$16,N$42,0)&gt;=$B48,OFFSET(家賃シミュレーションシート!$Q$16,N$42,0)&lt;=$C48,OFFSET(家賃シミュレーションシート!$O$16,N$42,0)+OFFSET(家賃シミュレーションシート!$S$16,N$42,0)&gt;10000000,OFFSET(家賃シミュレーションシート!$O$16,N$42,0)+OFFSET(家賃シミュレーションシート!$S$16,N$42,0)&lt;=20000000,OFFSET(家賃シミュレーションシート!$E$16,N$42,0)&gt;=65),"●","-")</f>
        <v>-</v>
      </c>
      <c r="O48" s="3">
        <f ca="1">OFFSET(家賃シミュレーションシート!$Q$16,O$42,0)*0.95-1355000</f>
        <v>-1355000</v>
      </c>
      <c r="P48" s="23" t="str">
        <f ca="1">IF(AND(OFFSET(家賃シミュレーションシート!$Q$16,P$42,0)&gt;=$B48,OFFSET(家賃シミュレーションシート!$Q$16,P$42,0)&lt;=$C48,OFFSET(家賃シミュレーションシート!$O$16,P$42,0)+OFFSET(家賃シミュレーションシート!$S$16,P$42,0)&gt;10000000,OFFSET(家賃シミュレーションシート!$O$16,P$42,0)+OFFSET(家賃シミュレーションシート!$S$16,P$42,0)&lt;=20000000,OFFSET(家賃シミュレーションシート!$E$16,P$42,0)&gt;=65),"●","-")</f>
        <v>-</v>
      </c>
      <c r="Q48" s="3">
        <f ca="1">OFFSET(家賃シミュレーションシート!$Q$16,Q$42,0)*0.95-1355000</f>
        <v>-1355000</v>
      </c>
      <c r="R48" s="23" t="str">
        <f ca="1">IF(AND(OFFSET(家賃シミュレーションシート!$Q$16,R$42,0)&gt;=$B48,OFFSET(家賃シミュレーションシート!$Q$16,R$42,0)&lt;=$C48,OFFSET(家賃シミュレーションシート!$O$16,R$42,0)+OFFSET(家賃シミュレーションシート!$S$16,R$42,0)&gt;10000000,OFFSET(家賃シミュレーションシート!$O$16,R$42,0)+OFFSET(家賃シミュレーションシート!$S$16,R$42,0)&lt;=20000000,OFFSET(家賃シミュレーションシート!$E$16,R$42,0)&gt;=65),"●","-")</f>
        <v>-</v>
      </c>
      <c r="S48" s="3">
        <f ca="1">OFFSET(家賃シミュレーションシート!$Q$16,S$42,0)*0.95-1355000</f>
        <v>-1355000</v>
      </c>
      <c r="T48" s="23" t="str">
        <f ca="1">IF(AND(OFFSET(家賃シミュレーションシート!$Q$16,T$42,0)&gt;=$B48,OFFSET(家賃シミュレーションシート!$Q$16,T$42,0)&lt;=$C48,OFFSET(家賃シミュレーションシート!$O$16,T$42,0)+OFFSET(家賃シミュレーションシート!$S$16,T$42,0)&gt;10000000,OFFSET(家賃シミュレーションシート!$O$16,T$42,0)+OFFSET(家賃シミュレーションシート!$S$16,T$42,0)&lt;=20000000,OFFSET(家賃シミュレーションシート!$E$16,T$42,0)&gt;=65),"●","-")</f>
        <v>-</v>
      </c>
    </row>
    <row r="49" spans="1:20" ht="18" customHeight="1" x14ac:dyDescent="0.15">
      <c r="A49" s="17"/>
      <c r="B49" s="3">
        <v>10000000</v>
      </c>
      <c r="C49" s="3"/>
      <c r="D49" s="8" t="s">
        <v>25</v>
      </c>
      <c r="E49" s="3">
        <f ca="1">OFFSET(家賃シミュレーションシート!$Q$16,E$42,0)-1855000</f>
        <v>-1855000</v>
      </c>
      <c r="F49" s="23" t="str">
        <f ca="1">IF(AND(OFFSET(家賃シミュレーションシート!$Q$16,F$42,0)&gt;=$B49,OFFSET(家賃シミュレーションシート!$O$16,F$42,0)+OFFSET(家賃シミュレーションシート!$S$16,F$42,0)&gt;10000000,OFFSET(家賃シミュレーションシート!$O$16,F$42,0)+OFFSET(家賃シミュレーションシート!$S$16,F$42,0)&lt;=20000000,OFFSET(家賃シミュレーションシート!$E$16,F$42,0)&gt;=65),"●","-")</f>
        <v>-</v>
      </c>
      <c r="G49" s="3">
        <f ca="1">OFFSET(家賃シミュレーションシート!$Q$16,G$42,0)-1855000</f>
        <v>-1855000</v>
      </c>
      <c r="H49" s="23" t="str">
        <f ca="1">IF(AND(OFFSET(家賃シミュレーションシート!$Q$16,H$42,0)&gt;=$B49,OFFSET(家賃シミュレーションシート!$O$16,H$42,0)+OFFSET(家賃シミュレーションシート!$S$16,H$42,0)&gt;10000000,OFFSET(家賃シミュレーションシート!$O$16,H$42,0)+OFFSET(家賃シミュレーションシート!$S$16,H$42,0)&lt;=20000000,OFFSET(家賃シミュレーションシート!$E$16,H$42,0)&gt;=65),"●","-")</f>
        <v>-</v>
      </c>
      <c r="I49" s="3">
        <f ca="1">OFFSET(家賃シミュレーションシート!$Q$16,I$42,0)-1855000</f>
        <v>-1855000</v>
      </c>
      <c r="J49" s="23" t="str">
        <f ca="1">IF(AND(OFFSET(家賃シミュレーションシート!$Q$16,J$42,0)&gt;=$B49,OFFSET(家賃シミュレーションシート!$O$16,J$42,0)+OFFSET(家賃シミュレーションシート!$S$16,J$42,0)&gt;10000000,OFFSET(家賃シミュレーションシート!$O$16,J$42,0)+OFFSET(家賃シミュレーションシート!$S$16,J$42,0)&lt;=20000000,OFFSET(家賃シミュレーションシート!$E$16,J$42,0)&gt;=65),"●","-")</f>
        <v>-</v>
      </c>
      <c r="K49" s="3">
        <f ca="1">OFFSET(家賃シミュレーションシート!$Q$16,K$42,0)-1855000</f>
        <v>-1855000</v>
      </c>
      <c r="L49" s="23" t="str">
        <f ca="1">IF(AND(OFFSET(家賃シミュレーションシート!$Q$16,L$42,0)&gt;=$B49,OFFSET(家賃シミュレーションシート!$O$16,L$42,0)+OFFSET(家賃シミュレーションシート!$S$16,L$42,0)&gt;10000000,OFFSET(家賃シミュレーションシート!$O$16,L$42,0)+OFFSET(家賃シミュレーションシート!$S$16,L$42,0)&lt;=20000000,OFFSET(家賃シミュレーションシート!$E$16,L$42,0)&gt;=65),"●","-")</f>
        <v>-</v>
      </c>
      <c r="M49" s="3">
        <f ca="1">OFFSET(家賃シミュレーションシート!$Q$16,M$42,0)-1855000</f>
        <v>-1855000</v>
      </c>
      <c r="N49" s="23" t="str">
        <f ca="1">IF(AND(OFFSET(家賃シミュレーションシート!$Q$16,N$42,0)&gt;=$B49,OFFSET(家賃シミュレーションシート!$O$16,N$42,0)+OFFSET(家賃シミュレーションシート!$S$16,N$42,0)&gt;10000000,OFFSET(家賃シミュレーションシート!$O$16,N$42,0)+OFFSET(家賃シミュレーションシート!$S$16,N$42,0)&lt;=20000000,OFFSET(家賃シミュレーションシート!$E$16,N$42,0)&gt;=65),"●","-")</f>
        <v>-</v>
      </c>
      <c r="O49" s="3">
        <f ca="1">OFFSET(家賃シミュレーションシート!$Q$16,O$42,0)-1855000</f>
        <v>-1855000</v>
      </c>
      <c r="P49" s="23" t="str">
        <f ca="1">IF(AND(OFFSET(家賃シミュレーションシート!$Q$16,P$42,0)&gt;=$B49,OFFSET(家賃シミュレーションシート!$O$16,P$42,0)+OFFSET(家賃シミュレーションシート!$S$16,P$42,0)&gt;10000000,OFFSET(家賃シミュレーションシート!$O$16,P$42,0)+OFFSET(家賃シミュレーションシート!$S$16,P$42,0)&lt;=20000000,OFFSET(家賃シミュレーションシート!$E$16,P$42,0)&gt;=65),"●","-")</f>
        <v>-</v>
      </c>
      <c r="Q49" s="3">
        <f ca="1">OFFSET(家賃シミュレーションシート!$Q$16,Q$42,0)-1855000</f>
        <v>-1855000</v>
      </c>
      <c r="R49" s="23" t="str">
        <f ca="1">IF(AND(OFFSET(家賃シミュレーションシート!$Q$16,R$42,0)&gt;=$B49,OFFSET(家賃シミュレーションシート!$O$16,R$42,0)+OFFSET(家賃シミュレーションシート!$S$16,R$42,0)&gt;10000000,OFFSET(家賃シミュレーションシート!$O$16,R$42,0)+OFFSET(家賃シミュレーションシート!$S$16,R$42,0)&lt;=20000000,OFFSET(家賃シミュレーションシート!$E$16,R$42,0)&gt;=65),"●","-")</f>
        <v>-</v>
      </c>
      <c r="S49" s="3">
        <f ca="1">OFFSET(家賃シミュレーションシート!$Q$16,S$42,0)-1855000</f>
        <v>-1855000</v>
      </c>
      <c r="T49" s="23" t="str">
        <f ca="1">IF(AND(OFFSET(家賃シミュレーションシート!$Q$16,T$42,0)&gt;=$B49,OFFSET(家賃シミュレーションシート!$O$16,T$42,0)+OFFSET(家賃シミュレーションシート!$S$16,T$42,0)&gt;10000000,OFFSET(家賃シミュレーションシート!$O$16,T$42,0)+OFFSET(家賃シミュレーションシート!$S$16,T$42,0)&lt;=20000000,OFFSET(家賃シミュレーションシート!$E$16,T$42,0)&gt;=65),"●","-")</f>
        <v>-</v>
      </c>
    </row>
    <row r="50" spans="1:20" s="20" customFormat="1" ht="18" customHeight="1" x14ac:dyDescent="0.15">
      <c r="B50" s="21" t="s">
        <v>8</v>
      </c>
    </row>
    <row r="51" spans="1:20" s="20" customFormat="1" ht="18" customHeight="1" x14ac:dyDescent="0.15">
      <c r="B51" s="21" t="s">
        <v>27</v>
      </c>
    </row>
    <row r="52" spans="1:20" ht="18" customHeight="1" x14ac:dyDescent="0.15">
      <c r="A52" s="16"/>
      <c r="B52" s="1" t="s">
        <v>9</v>
      </c>
    </row>
    <row r="53" spans="1:20" ht="18" customHeight="1" x14ac:dyDescent="0.15">
      <c r="A53" s="16"/>
      <c r="B53" s="11" t="s">
        <v>10</v>
      </c>
      <c r="C53" s="11"/>
      <c r="D53" s="15" t="s">
        <v>11</v>
      </c>
      <c r="E53" s="2">
        <v>0</v>
      </c>
      <c r="F53" s="2">
        <v>0</v>
      </c>
      <c r="G53" s="2">
        <v>2</v>
      </c>
      <c r="H53" s="2">
        <v>2</v>
      </c>
      <c r="I53" s="2">
        <v>4</v>
      </c>
      <c r="J53" s="2">
        <v>4</v>
      </c>
      <c r="K53" s="2">
        <v>6</v>
      </c>
      <c r="L53" s="2">
        <v>6</v>
      </c>
      <c r="M53" s="2">
        <v>8</v>
      </c>
      <c r="N53" s="2">
        <v>8</v>
      </c>
      <c r="O53" s="2">
        <v>10</v>
      </c>
      <c r="P53" s="2">
        <v>10</v>
      </c>
      <c r="Q53" s="2">
        <v>12</v>
      </c>
      <c r="R53" s="2">
        <v>12</v>
      </c>
      <c r="S53" s="2">
        <v>14</v>
      </c>
      <c r="T53" s="2">
        <v>14</v>
      </c>
    </row>
    <row r="54" spans="1:20" ht="18" customHeight="1" x14ac:dyDescent="0.15">
      <c r="A54" s="16"/>
      <c r="B54" s="13" t="s">
        <v>2</v>
      </c>
      <c r="C54" s="13" t="s">
        <v>3</v>
      </c>
      <c r="D54" s="14" t="s">
        <v>4</v>
      </c>
      <c r="E54" s="22" t="s">
        <v>45</v>
      </c>
      <c r="F54" s="22"/>
      <c r="G54" s="22" t="s">
        <v>38</v>
      </c>
      <c r="H54" s="22"/>
      <c r="I54" s="22" t="s">
        <v>39</v>
      </c>
      <c r="J54" s="22"/>
      <c r="K54" s="22" t="s">
        <v>40</v>
      </c>
      <c r="L54" s="22"/>
      <c r="M54" s="22" t="s">
        <v>41</v>
      </c>
      <c r="N54" s="22"/>
      <c r="O54" s="22" t="s">
        <v>42</v>
      </c>
      <c r="P54" s="22"/>
      <c r="Q54" s="22" t="s">
        <v>467</v>
      </c>
      <c r="R54" s="22"/>
      <c r="S54" s="22" t="s">
        <v>468</v>
      </c>
      <c r="T54" s="22"/>
    </row>
    <row r="55" spans="1:20" ht="18" customHeight="1" x14ac:dyDescent="0.15">
      <c r="A55" s="16"/>
      <c r="B55" s="3"/>
      <c r="C55" s="3">
        <v>400000</v>
      </c>
      <c r="D55" s="8">
        <v>0</v>
      </c>
      <c r="E55" s="3">
        <v>0</v>
      </c>
      <c r="F55" s="23" t="str">
        <f ca="1">IF(AND(OFFSET(家賃シミュレーションシート!$Q$16,F$53,0)&lt;=$C55,OFFSET(家賃シミュレーションシート!$O$16,F$53,0)+OFFSET(家賃シミュレーションシート!$S$16,F$53,0)&gt;20000000,OFFSET(家賃シミュレーションシート!$E$16,F$53,0)&lt;65),"●","-")</f>
        <v>-</v>
      </c>
      <c r="G55" s="3">
        <v>0</v>
      </c>
      <c r="H55" s="23" t="str">
        <f ca="1">IF(AND(OFFSET(家賃シミュレーションシート!$Q$16,H$53,0)&lt;=$C55,OFFSET(家賃シミュレーションシート!$O$16,H$53,0)+OFFSET(家賃シミュレーションシート!$S$16,H$53,0)&gt;20000000,OFFSET(家賃シミュレーションシート!$E$16,H$53,0)&lt;65),"●","-")</f>
        <v>-</v>
      </c>
      <c r="I55" s="3">
        <v>0</v>
      </c>
      <c r="J55" s="23" t="str">
        <f ca="1">IF(AND(OFFSET(家賃シミュレーションシート!$Q$16,J$53,0)&lt;=$C55,OFFSET(家賃シミュレーションシート!$O$16,J$53,0)+OFFSET(家賃シミュレーションシート!$S$16,J$53,0)&gt;20000000,OFFSET(家賃シミュレーションシート!$E$16,J$53,0)&lt;65),"●","-")</f>
        <v>-</v>
      </c>
      <c r="K55" s="3">
        <v>0</v>
      </c>
      <c r="L55" s="23" t="str">
        <f ca="1">IF(AND(OFFSET(家賃シミュレーションシート!$Q$16,L$53,0)&lt;=$C55,OFFSET(家賃シミュレーションシート!$O$16,L$53,0)+OFFSET(家賃シミュレーションシート!$S$16,L$53,0)&gt;20000000,OFFSET(家賃シミュレーションシート!$E$16,L$53,0)&lt;65),"●","-")</f>
        <v>-</v>
      </c>
      <c r="M55" s="3">
        <v>0</v>
      </c>
      <c r="N55" s="23" t="str">
        <f ca="1">IF(AND(OFFSET(家賃シミュレーションシート!$Q$16,N$53,0)&lt;=$C55,OFFSET(家賃シミュレーションシート!$O$16,N$53,0)+OFFSET(家賃シミュレーションシート!$S$16,N$53,0)&gt;20000000,OFFSET(家賃シミュレーションシート!$E$16,N$53,0)&lt;65),"●","-")</f>
        <v>-</v>
      </c>
      <c r="O55" s="3">
        <v>0</v>
      </c>
      <c r="P55" s="23" t="str">
        <f ca="1">IF(AND(OFFSET(家賃シミュレーションシート!$Q$16,P$53,0)&lt;=$C55,OFFSET(家賃シミュレーションシート!$O$16,P$53,0)+OFFSET(家賃シミュレーションシート!$S$16,P$53,0)&gt;20000000,OFFSET(家賃シミュレーションシート!$E$16,P$53,0)&lt;65),"●","-")</f>
        <v>-</v>
      </c>
      <c r="Q55" s="3">
        <v>0</v>
      </c>
      <c r="R55" s="23" t="str">
        <f ca="1">IF(AND(OFFSET(家賃シミュレーションシート!$Q$16,R$53,0)&lt;=$C55,OFFSET(家賃シミュレーションシート!$O$16,R$53,0)+OFFSET(家賃シミュレーションシート!$S$16,R$53,0)&gt;20000000,OFFSET(家賃シミュレーションシート!$E$16,R$53,0)&lt;65),"●","-")</f>
        <v>-</v>
      </c>
      <c r="S55" s="3">
        <v>0</v>
      </c>
      <c r="T55" s="23" t="str">
        <f ca="1">IF(AND(OFFSET(家賃シミュレーションシート!$Q$16,T$53,0)&lt;=$C55,OFFSET(家賃シミュレーションシート!$O$16,T$53,0)+OFFSET(家賃シミュレーションシート!$S$16,T$53,0)&gt;20000000,OFFSET(家賃シミュレーションシート!$E$16,T$53,0)&lt;65),"●","-")</f>
        <v>-</v>
      </c>
    </row>
    <row r="56" spans="1:20" ht="18" customHeight="1" x14ac:dyDescent="0.15">
      <c r="A56" s="16"/>
      <c r="B56" s="3">
        <v>400001</v>
      </c>
      <c r="C56" s="3">
        <v>1299999</v>
      </c>
      <c r="D56" s="8" t="s">
        <v>28</v>
      </c>
      <c r="E56" s="3">
        <f ca="1">OFFSET(家賃シミュレーションシート!$Q$16,E$53,0)-400000</f>
        <v>-400000</v>
      </c>
      <c r="F56" s="23" t="str">
        <f ca="1">IF(AND(OFFSET(家賃シミュレーションシート!$Q$16,F$53,0)&gt;=$B56,OFFSET(家賃シミュレーションシート!$Q$16,F$53,0)&lt;=$C56,OFFSET(家賃シミュレーションシート!$O$16,F$53,0)+OFFSET(家賃シミュレーションシート!$S$16,F$53,0)&gt;20000000,OFFSET(家賃シミュレーションシート!$E$16,F$53,0)&lt;65),"●","-")</f>
        <v>-</v>
      </c>
      <c r="G56" s="3">
        <f ca="1">OFFSET(家賃シミュレーションシート!$Q$16,G$53,0)-400000</f>
        <v>-400000</v>
      </c>
      <c r="H56" s="23" t="str">
        <f ca="1">IF(AND(OFFSET(家賃シミュレーションシート!$Q$16,H$53,0)&gt;=$B56,OFFSET(家賃シミュレーションシート!$Q$16,H$53,0)&lt;=$C56,OFFSET(家賃シミュレーションシート!$O$16,H$53,0)+OFFSET(家賃シミュレーションシート!$S$16,H$53,0)&gt;20000000,OFFSET(家賃シミュレーションシート!$E$16,H$53,0)&lt;65),"●","-")</f>
        <v>-</v>
      </c>
      <c r="I56" s="3">
        <f ca="1">OFFSET(家賃シミュレーションシート!$Q$16,I$53,0)-400000</f>
        <v>-400000</v>
      </c>
      <c r="J56" s="23" t="str">
        <f ca="1">IF(AND(OFFSET(家賃シミュレーションシート!$Q$16,J$53,0)&gt;=$B56,OFFSET(家賃シミュレーションシート!$Q$16,J$53,0)&lt;=$C56,OFFSET(家賃シミュレーションシート!$O$16,J$53,0)+OFFSET(家賃シミュレーションシート!$S$16,J$53,0)&gt;20000000,OFFSET(家賃シミュレーションシート!$E$16,J$53,0)&lt;65),"●","-")</f>
        <v>-</v>
      </c>
      <c r="K56" s="3">
        <f ca="1">OFFSET(家賃シミュレーションシート!$Q$16,K$53,0)-400000</f>
        <v>-400000</v>
      </c>
      <c r="L56" s="23" t="str">
        <f ca="1">IF(AND(OFFSET(家賃シミュレーションシート!$Q$16,L$53,0)&gt;=$B56,OFFSET(家賃シミュレーションシート!$Q$16,L$53,0)&lt;=$C56,OFFSET(家賃シミュレーションシート!$O$16,L$53,0)+OFFSET(家賃シミュレーションシート!$S$16,L$53,0)&gt;20000000,OFFSET(家賃シミュレーションシート!$E$16,L$53,0)&lt;65),"●","-")</f>
        <v>-</v>
      </c>
      <c r="M56" s="3">
        <f ca="1">OFFSET(家賃シミュレーションシート!$Q$16,M$53,0)-400000</f>
        <v>-400000</v>
      </c>
      <c r="N56" s="23" t="str">
        <f ca="1">IF(AND(OFFSET(家賃シミュレーションシート!$Q$16,N$53,0)&gt;=$B56,OFFSET(家賃シミュレーションシート!$Q$16,N$53,0)&lt;=$C56,OFFSET(家賃シミュレーションシート!$O$16,N$53,0)+OFFSET(家賃シミュレーションシート!$S$16,N$53,0)&gt;20000000,OFFSET(家賃シミュレーションシート!$E$16,N$53,0)&lt;65),"●","-")</f>
        <v>-</v>
      </c>
      <c r="O56" s="3">
        <f ca="1">OFFSET(家賃シミュレーションシート!$Q$16,O$53,0)-400000</f>
        <v>-400000</v>
      </c>
      <c r="P56" s="23" t="str">
        <f ca="1">IF(AND(OFFSET(家賃シミュレーションシート!$Q$16,P$53,0)&gt;=$B56,OFFSET(家賃シミュレーションシート!$Q$16,P$53,0)&lt;=$C56,OFFSET(家賃シミュレーションシート!$O$16,P$53,0)+OFFSET(家賃シミュレーションシート!$S$16,P$53,0)&gt;20000000,OFFSET(家賃シミュレーションシート!$E$16,P$53,0)&lt;65),"●","-")</f>
        <v>-</v>
      </c>
      <c r="Q56" s="3">
        <f ca="1">OFFSET(家賃シミュレーションシート!$Q$16,Q$53,0)-400000</f>
        <v>-400000</v>
      </c>
      <c r="R56" s="23" t="str">
        <f ca="1">IF(AND(OFFSET(家賃シミュレーションシート!$Q$16,R$53,0)&gt;=$B56,OFFSET(家賃シミュレーションシート!$Q$16,R$53,0)&lt;=$C56,OFFSET(家賃シミュレーションシート!$O$16,R$53,0)+OFFSET(家賃シミュレーションシート!$S$16,R$53,0)&gt;20000000,OFFSET(家賃シミュレーションシート!$E$16,R$53,0)&lt;65),"●","-")</f>
        <v>-</v>
      </c>
      <c r="S56" s="3">
        <f ca="1">OFFSET(家賃シミュレーションシート!$Q$16,S$53,0)-400000</f>
        <v>-400000</v>
      </c>
      <c r="T56" s="23" t="str">
        <f ca="1">IF(AND(OFFSET(家賃シミュレーションシート!$Q$16,T$53,0)&gt;=$B56,OFFSET(家賃シミュレーションシート!$Q$16,T$53,0)&lt;=$C56,OFFSET(家賃シミュレーションシート!$O$16,T$53,0)+OFFSET(家賃シミュレーションシート!$S$16,T$53,0)&gt;20000000,OFFSET(家賃シミュレーションシート!$E$16,T$53,0)&lt;65),"●","-")</f>
        <v>-</v>
      </c>
    </row>
    <row r="57" spans="1:20" ht="18" customHeight="1" x14ac:dyDescent="0.15">
      <c r="A57" s="16"/>
      <c r="B57" s="3">
        <v>1300000</v>
      </c>
      <c r="C57" s="3">
        <v>4099999</v>
      </c>
      <c r="D57" s="8" t="s">
        <v>29</v>
      </c>
      <c r="E57" s="3">
        <f ca="1">OFFSET(家賃シミュレーションシート!$Q$16,E$53,0)*0.75-75000</f>
        <v>-75000</v>
      </c>
      <c r="F57" s="23" t="str">
        <f ca="1">IF(AND(OFFSET(家賃シミュレーションシート!$Q$16,F$53,0)&gt;=$B57,OFFSET(家賃シミュレーションシート!$Q$16,F$53,0)&lt;=$C57,OFFSET(家賃シミュレーションシート!$O$16,F$53,0)+OFFSET(家賃シミュレーションシート!$S$16,F$53,0)&gt;20000000,OFFSET(家賃シミュレーションシート!$E$16,F$53,0)&lt;65),"●","-")</f>
        <v>-</v>
      </c>
      <c r="G57" s="3">
        <f ca="1">OFFSET(家賃シミュレーションシート!$Q$16,G$53,0)*0.75-75000</f>
        <v>-75000</v>
      </c>
      <c r="H57" s="23" t="str">
        <f ca="1">IF(AND(OFFSET(家賃シミュレーションシート!$Q$16,H$53,0)&gt;=$B57,OFFSET(家賃シミュレーションシート!$Q$16,H$53,0)&lt;=$C57,OFFSET(家賃シミュレーションシート!$O$16,H$53,0)+OFFSET(家賃シミュレーションシート!$S$16,H$53,0)&gt;20000000,OFFSET(家賃シミュレーションシート!$E$16,H$53,0)&lt;65),"●","-")</f>
        <v>-</v>
      </c>
      <c r="I57" s="3">
        <f ca="1">OFFSET(家賃シミュレーションシート!$Q$16,I$53,0)*0.75-75000</f>
        <v>-75000</v>
      </c>
      <c r="J57" s="23" t="str">
        <f ca="1">IF(AND(OFFSET(家賃シミュレーションシート!$Q$16,J$53,0)&gt;=$B57,OFFSET(家賃シミュレーションシート!$Q$16,J$53,0)&lt;=$C57,OFFSET(家賃シミュレーションシート!$O$16,J$53,0)+OFFSET(家賃シミュレーションシート!$S$16,J$53,0)&gt;20000000,OFFSET(家賃シミュレーションシート!$E$16,J$53,0)&lt;65),"●","-")</f>
        <v>-</v>
      </c>
      <c r="K57" s="3">
        <f ca="1">OFFSET(家賃シミュレーションシート!$Q$16,K$53,0)*0.75-75000</f>
        <v>-75000</v>
      </c>
      <c r="L57" s="23" t="str">
        <f ca="1">IF(AND(OFFSET(家賃シミュレーションシート!$Q$16,L$53,0)&gt;=$B57,OFFSET(家賃シミュレーションシート!$Q$16,L$53,0)&lt;=$C57,OFFSET(家賃シミュレーションシート!$O$16,L$53,0)+OFFSET(家賃シミュレーションシート!$S$16,L$53,0)&gt;20000000,OFFSET(家賃シミュレーションシート!$E$16,L$53,0)&lt;65),"●","-")</f>
        <v>-</v>
      </c>
      <c r="M57" s="3">
        <f ca="1">OFFSET(家賃シミュレーションシート!$Q$16,M$53,0)*0.75-75000</f>
        <v>-75000</v>
      </c>
      <c r="N57" s="23" t="str">
        <f ca="1">IF(AND(OFFSET(家賃シミュレーションシート!$Q$16,N$53,0)&gt;=$B57,OFFSET(家賃シミュレーションシート!$Q$16,N$53,0)&lt;=$C57,OFFSET(家賃シミュレーションシート!$O$16,N$53,0)+OFFSET(家賃シミュレーションシート!$S$16,N$53,0)&gt;20000000,OFFSET(家賃シミュレーションシート!$E$16,N$53,0)&lt;65),"●","-")</f>
        <v>-</v>
      </c>
      <c r="O57" s="3">
        <f ca="1">OFFSET(家賃シミュレーションシート!$Q$16,O$53,0)*0.75-75000</f>
        <v>-75000</v>
      </c>
      <c r="P57" s="23" t="str">
        <f ca="1">IF(AND(OFFSET(家賃シミュレーションシート!$Q$16,P$53,0)&gt;=$B57,OFFSET(家賃シミュレーションシート!$Q$16,P$53,0)&lt;=$C57,OFFSET(家賃シミュレーションシート!$O$16,P$53,0)+OFFSET(家賃シミュレーションシート!$S$16,P$53,0)&gt;20000000,OFFSET(家賃シミュレーションシート!$E$16,P$53,0)&lt;65),"●","-")</f>
        <v>-</v>
      </c>
      <c r="Q57" s="3">
        <f ca="1">OFFSET(家賃シミュレーションシート!$Q$16,Q$53,0)*0.75-75000</f>
        <v>-75000</v>
      </c>
      <c r="R57" s="23" t="str">
        <f ca="1">IF(AND(OFFSET(家賃シミュレーションシート!$Q$16,R$53,0)&gt;=$B57,OFFSET(家賃シミュレーションシート!$Q$16,R$53,0)&lt;=$C57,OFFSET(家賃シミュレーションシート!$O$16,R$53,0)+OFFSET(家賃シミュレーションシート!$S$16,R$53,0)&gt;20000000,OFFSET(家賃シミュレーションシート!$E$16,R$53,0)&lt;65),"●","-")</f>
        <v>-</v>
      </c>
      <c r="S57" s="3">
        <f ca="1">OFFSET(家賃シミュレーションシート!$Q$16,S$53,0)*0.75-75000</f>
        <v>-75000</v>
      </c>
      <c r="T57" s="23" t="str">
        <f ca="1">IF(AND(OFFSET(家賃シミュレーションシート!$Q$16,T$53,0)&gt;=$B57,OFFSET(家賃シミュレーションシート!$Q$16,T$53,0)&lt;=$C57,OFFSET(家賃シミュレーションシート!$O$16,T$53,0)+OFFSET(家賃シミュレーションシート!$S$16,T$53,0)&gt;20000000,OFFSET(家賃シミュレーションシート!$E$16,T$53,0)&lt;65),"●","-")</f>
        <v>-</v>
      </c>
    </row>
    <row r="58" spans="1:20" ht="18" customHeight="1" x14ac:dyDescent="0.15">
      <c r="A58" s="16"/>
      <c r="B58" s="3">
        <v>4100000</v>
      </c>
      <c r="C58" s="3">
        <v>7699999</v>
      </c>
      <c r="D58" s="8" t="s">
        <v>30</v>
      </c>
      <c r="E58" s="3">
        <f ca="1">OFFSET(家賃シミュレーションシート!$Q$16,E$53,0)*0.85-485000</f>
        <v>-485000</v>
      </c>
      <c r="F58" s="23" t="str">
        <f ca="1">IF(AND(OFFSET(家賃シミュレーションシート!$Q$16,F$53,0)&gt;=$B58,OFFSET(家賃シミュレーションシート!$Q$16,F$53,0)&lt;=$C58,OFFSET(家賃シミュレーションシート!$O$16,F$53,0)+OFFSET(家賃シミュレーションシート!$S$16,F$53,0)&gt;20000000,OFFSET(家賃シミュレーションシート!$E$16,F$53,0)&lt;65),"●","-")</f>
        <v>-</v>
      </c>
      <c r="G58" s="3">
        <f ca="1">OFFSET(家賃シミュレーションシート!$Q$16,G$53,0)*0.85-485000</f>
        <v>-485000</v>
      </c>
      <c r="H58" s="23" t="str">
        <f ca="1">IF(AND(OFFSET(家賃シミュレーションシート!$Q$16,H$53,0)&gt;=$B58,OFFSET(家賃シミュレーションシート!$Q$16,H$53,0)&lt;=$C58,OFFSET(家賃シミュレーションシート!$O$16,H$53,0)+OFFSET(家賃シミュレーションシート!$S$16,H$53,0)&gt;20000000,OFFSET(家賃シミュレーションシート!$E$16,H$53,0)&lt;65),"●","-")</f>
        <v>-</v>
      </c>
      <c r="I58" s="3">
        <f ca="1">OFFSET(家賃シミュレーションシート!$Q$16,I$53,0)*0.85-485000</f>
        <v>-485000</v>
      </c>
      <c r="J58" s="23" t="str">
        <f ca="1">IF(AND(OFFSET(家賃シミュレーションシート!$Q$16,J$53,0)&gt;=$B58,OFFSET(家賃シミュレーションシート!$Q$16,J$53,0)&lt;=$C58,OFFSET(家賃シミュレーションシート!$O$16,J$53,0)+OFFSET(家賃シミュレーションシート!$S$16,J$53,0)&gt;20000000,OFFSET(家賃シミュレーションシート!$E$16,J$53,0)&lt;65),"●","-")</f>
        <v>-</v>
      </c>
      <c r="K58" s="3">
        <f ca="1">OFFSET(家賃シミュレーションシート!$Q$16,K$53,0)*0.85-485000</f>
        <v>-485000</v>
      </c>
      <c r="L58" s="23" t="str">
        <f ca="1">IF(AND(OFFSET(家賃シミュレーションシート!$Q$16,L$53,0)&gt;=$B58,OFFSET(家賃シミュレーションシート!$Q$16,L$53,0)&lt;=$C58,OFFSET(家賃シミュレーションシート!$O$16,L$53,0)+OFFSET(家賃シミュレーションシート!$S$16,L$53,0)&gt;20000000,OFFSET(家賃シミュレーションシート!$E$16,L$53,0)&lt;65),"●","-")</f>
        <v>-</v>
      </c>
      <c r="M58" s="3">
        <f ca="1">OFFSET(家賃シミュレーションシート!$Q$16,M$53,0)*0.85-485000</f>
        <v>-485000</v>
      </c>
      <c r="N58" s="23" t="str">
        <f ca="1">IF(AND(OFFSET(家賃シミュレーションシート!$Q$16,N$53,0)&gt;=$B58,OFFSET(家賃シミュレーションシート!$Q$16,N$53,0)&lt;=$C58,OFFSET(家賃シミュレーションシート!$O$16,N$53,0)+OFFSET(家賃シミュレーションシート!$S$16,N$53,0)&gt;20000000,OFFSET(家賃シミュレーションシート!$E$16,N$53,0)&lt;65),"●","-")</f>
        <v>-</v>
      </c>
      <c r="O58" s="3">
        <f ca="1">OFFSET(家賃シミュレーションシート!$Q$16,O$53,0)*0.85-485000</f>
        <v>-485000</v>
      </c>
      <c r="P58" s="23" t="str">
        <f ca="1">IF(AND(OFFSET(家賃シミュレーションシート!$Q$16,P$53,0)&gt;=$B58,OFFSET(家賃シミュレーションシート!$Q$16,P$53,0)&lt;=$C58,OFFSET(家賃シミュレーションシート!$O$16,P$53,0)+OFFSET(家賃シミュレーションシート!$S$16,P$53,0)&gt;20000000,OFFSET(家賃シミュレーションシート!$E$16,P$53,0)&lt;65),"●","-")</f>
        <v>-</v>
      </c>
      <c r="Q58" s="3">
        <f ca="1">OFFSET(家賃シミュレーションシート!$Q$16,Q$53,0)*0.85-485000</f>
        <v>-485000</v>
      </c>
      <c r="R58" s="23" t="str">
        <f ca="1">IF(AND(OFFSET(家賃シミュレーションシート!$Q$16,R$53,0)&gt;=$B58,OFFSET(家賃シミュレーションシート!$Q$16,R$53,0)&lt;=$C58,OFFSET(家賃シミュレーションシート!$O$16,R$53,0)+OFFSET(家賃シミュレーションシート!$S$16,R$53,0)&gt;20000000,OFFSET(家賃シミュレーションシート!$E$16,R$53,0)&lt;65),"●","-")</f>
        <v>-</v>
      </c>
      <c r="S58" s="3">
        <f ca="1">OFFSET(家賃シミュレーションシート!$Q$16,S$53,0)*0.85-485000</f>
        <v>-485000</v>
      </c>
      <c r="T58" s="23" t="str">
        <f ca="1">IF(AND(OFFSET(家賃シミュレーションシート!$Q$16,T$53,0)&gt;=$B58,OFFSET(家賃シミュレーションシート!$Q$16,T$53,0)&lt;=$C58,OFFSET(家賃シミュレーションシート!$O$16,T$53,0)+OFFSET(家賃シミュレーションシート!$S$16,T$53,0)&gt;20000000,OFFSET(家賃シミュレーションシート!$E$16,T$53,0)&lt;65),"●","-")</f>
        <v>-</v>
      </c>
    </row>
    <row r="59" spans="1:20" ht="18" customHeight="1" x14ac:dyDescent="0.15">
      <c r="A59" s="16"/>
      <c r="B59" s="3">
        <v>7700000</v>
      </c>
      <c r="C59" s="3">
        <v>9999999</v>
      </c>
      <c r="D59" s="8" t="s">
        <v>31</v>
      </c>
      <c r="E59" s="3">
        <f ca="1">OFFSET(家賃シミュレーションシート!$Q$16,E$53,0)*0.95-1255000</f>
        <v>-1255000</v>
      </c>
      <c r="F59" s="23" t="str">
        <f ca="1">IF(AND(OFFSET(家賃シミュレーションシート!$Q$16,F$53,0)&gt;=$B59,OFFSET(家賃シミュレーションシート!$Q$16,F$53,0)&lt;=$C59,OFFSET(家賃シミュレーションシート!$O$16,F$53,0)+OFFSET(家賃シミュレーションシート!$S$16,F$53,0)&gt;20000000,OFFSET(家賃シミュレーションシート!$E$16,F$53,0)&lt;65),"●","-")</f>
        <v>-</v>
      </c>
      <c r="G59" s="3">
        <f ca="1">OFFSET(家賃シミュレーションシート!$Q$16,G$53,0)*0.95-1255000</f>
        <v>-1255000</v>
      </c>
      <c r="H59" s="23" t="str">
        <f ca="1">IF(AND(OFFSET(家賃シミュレーションシート!$Q$16,H$53,0)&gt;=$B59,OFFSET(家賃シミュレーションシート!$Q$16,H$53,0)&lt;=$C59,OFFSET(家賃シミュレーションシート!$O$16,H$53,0)+OFFSET(家賃シミュレーションシート!$S$16,H$53,0)&gt;20000000,OFFSET(家賃シミュレーションシート!$E$16,H$53,0)&lt;65),"●","-")</f>
        <v>-</v>
      </c>
      <c r="I59" s="3">
        <f ca="1">OFFSET(家賃シミュレーションシート!$Q$16,I$53,0)*0.95-1255000</f>
        <v>-1255000</v>
      </c>
      <c r="J59" s="23" t="str">
        <f ca="1">IF(AND(OFFSET(家賃シミュレーションシート!$Q$16,J$53,0)&gt;=$B59,OFFSET(家賃シミュレーションシート!$Q$16,J$53,0)&lt;=$C59,OFFSET(家賃シミュレーションシート!$O$16,J$53,0)+OFFSET(家賃シミュレーションシート!$S$16,J$53,0)&gt;20000000,OFFSET(家賃シミュレーションシート!$E$16,J$53,0)&lt;65),"●","-")</f>
        <v>-</v>
      </c>
      <c r="K59" s="3">
        <f ca="1">OFFSET(家賃シミュレーションシート!$Q$16,K$53,0)*0.95-1255000</f>
        <v>-1255000</v>
      </c>
      <c r="L59" s="23" t="str">
        <f ca="1">IF(AND(OFFSET(家賃シミュレーションシート!$Q$16,L$53,0)&gt;=$B59,OFFSET(家賃シミュレーションシート!$Q$16,L$53,0)&lt;=$C59,OFFSET(家賃シミュレーションシート!$O$16,L$53,0)+OFFSET(家賃シミュレーションシート!$S$16,L$53,0)&gt;20000000,OFFSET(家賃シミュレーションシート!$E$16,L$53,0)&lt;65),"●","-")</f>
        <v>-</v>
      </c>
      <c r="M59" s="3">
        <f ca="1">OFFSET(家賃シミュレーションシート!$Q$16,M$53,0)*0.95-1255000</f>
        <v>-1255000</v>
      </c>
      <c r="N59" s="23" t="str">
        <f ca="1">IF(AND(OFFSET(家賃シミュレーションシート!$Q$16,N$53,0)&gt;=$B59,OFFSET(家賃シミュレーションシート!$Q$16,N$53,0)&lt;=$C59,OFFSET(家賃シミュレーションシート!$O$16,N$53,0)+OFFSET(家賃シミュレーションシート!$S$16,N$53,0)&gt;20000000,OFFSET(家賃シミュレーションシート!$E$16,N$53,0)&lt;65),"●","-")</f>
        <v>-</v>
      </c>
      <c r="O59" s="3">
        <f ca="1">OFFSET(家賃シミュレーションシート!$Q$16,O$53,0)*0.95-1255000</f>
        <v>-1255000</v>
      </c>
      <c r="P59" s="23" t="str">
        <f ca="1">IF(AND(OFFSET(家賃シミュレーションシート!$Q$16,P$53,0)&gt;=$B59,OFFSET(家賃シミュレーションシート!$Q$16,P$53,0)&lt;=$C59,OFFSET(家賃シミュレーションシート!$O$16,P$53,0)+OFFSET(家賃シミュレーションシート!$S$16,P$53,0)&gt;20000000,OFFSET(家賃シミュレーションシート!$E$16,P$53,0)&lt;65),"●","-")</f>
        <v>-</v>
      </c>
      <c r="Q59" s="3">
        <f ca="1">OFFSET(家賃シミュレーションシート!$Q$16,Q$53,0)*0.95-1255000</f>
        <v>-1255000</v>
      </c>
      <c r="R59" s="23" t="str">
        <f ca="1">IF(AND(OFFSET(家賃シミュレーションシート!$Q$16,R$53,0)&gt;=$B59,OFFSET(家賃シミュレーションシート!$Q$16,R$53,0)&lt;=$C59,OFFSET(家賃シミュレーションシート!$O$16,R$53,0)+OFFSET(家賃シミュレーションシート!$S$16,R$53,0)&gt;20000000,OFFSET(家賃シミュレーションシート!$E$16,R$53,0)&lt;65),"●","-")</f>
        <v>-</v>
      </c>
      <c r="S59" s="3">
        <f ca="1">OFFSET(家賃シミュレーションシート!$Q$16,S$53,0)*0.95-1255000</f>
        <v>-1255000</v>
      </c>
      <c r="T59" s="23" t="str">
        <f ca="1">IF(AND(OFFSET(家賃シミュレーションシート!$Q$16,T$53,0)&gt;=$B59,OFFSET(家賃シミュレーションシート!$Q$16,T$53,0)&lt;=$C59,OFFSET(家賃シミュレーションシート!$O$16,T$53,0)+OFFSET(家賃シミュレーションシート!$S$16,T$53,0)&gt;20000000,OFFSET(家賃シミュレーションシート!$E$16,T$53,0)&lt;65),"●","-")</f>
        <v>-</v>
      </c>
    </row>
    <row r="60" spans="1:20" ht="18" customHeight="1" x14ac:dyDescent="0.15">
      <c r="A60" s="16"/>
      <c r="B60" s="3">
        <v>10000000</v>
      </c>
      <c r="C60" s="3"/>
      <c r="D60" s="8" t="s">
        <v>32</v>
      </c>
      <c r="E60" s="3">
        <f ca="1">OFFSET(家賃シミュレーションシート!$Q$16,E$53,0)-1755000</f>
        <v>-1755000</v>
      </c>
      <c r="F60" s="23" t="str">
        <f ca="1">IF(AND(OFFSET(家賃シミュレーションシート!$Q$16,F$53,0)&gt;=$B60,OFFSET(家賃シミュレーションシート!$O$16,F$53,0)+OFFSET(家賃シミュレーションシート!$S$16,F$53,0)&gt;20000000,OFFSET(家賃シミュレーションシート!$E$16,F$53,0)&lt;65),"●","-")</f>
        <v>-</v>
      </c>
      <c r="G60" s="3">
        <f ca="1">OFFSET(家賃シミュレーションシート!$Q$16,G$53,0)-1755000</f>
        <v>-1755000</v>
      </c>
      <c r="H60" s="23" t="str">
        <f ca="1">IF(AND(OFFSET(家賃シミュレーションシート!$Q$16,H$53,0)&gt;=$B60,OFFSET(家賃シミュレーションシート!$O$16,H$53,0)+OFFSET(家賃シミュレーションシート!$S$16,H$53,0)&gt;20000000,OFFSET(家賃シミュレーションシート!$E$16,H$53,0)&lt;65),"●","-")</f>
        <v>-</v>
      </c>
      <c r="I60" s="3">
        <f ca="1">OFFSET(家賃シミュレーションシート!$Q$16,I$53,0)-1755000</f>
        <v>-1755000</v>
      </c>
      <c r="J60" s="23" t="str">
        <f ca="1">IF(AND(OFFSET(家賃シミュレーションシート!$Q$16,J$53,0)&gt;=$B60,OFFSET(家賃シミュレーションシート!$O$16,J$53,0)+OFFSET(家賃シミュレーションシート!$S$16,J$53,0)&gt;20000000,OFFSET(家賃シミュレーションシート!$E$16,J$53,0)&lt;65),"●","-")</f>
        <v>-</v>
      </c>
      <c r="K60" s="3">
        <f ca="1">OFFSET(家賃シミュレーションシート!$Q$16,K$53,0)-1755000</f>
        <v>-1755000</v>
      </c>
      <c r="L60" s="23" t="str">
        <f ca="1">IF(AND(OFFSET(家賃シミュレーションシート!$Q$16,L$53,0)&gt;=$B60,OFFSET(家賃シミュレーションシート!$O$16,L$53,0)+OFFSET(家賃シミュレーションシート!$S$16,L$53,0)&gt;20000000,OFFSET(家賃シミュレーションシート!$E$16,L$53,0)&lt;65),"●","-")</f>
        <v>-</v>
      </c>
      <c r="M60" s="3">
        <f ca="1">OFFSET(家賃シミュレーションシート!$Q$16,M$53,0)-1755000</f>
        <v>-1755000</v>
      </c>
      <c r="N60" s="23" t="str">
        <f ca="1">IF(AND(OFFSET(家賃シミュレーションシート!$Q$16,N$53,0)&gt;=$B60,OFFSET(家賃シミュレーションシート!$O$16,N$53,0)+OFFSET(家賃シミュレーションシート!$S$16,N$53,0)&gt;20000000,OFFSET(家賃シミュレーションシート!$E$16,N$53,0)&lt;65),"●","-")</f>
        <v>-</v>
      </c>
      <c r="O60" s="3">
        <f ca="1">OFFSET(家賃シミュレーションシート!$Q$16,O$53,0)-1755000</f>
        <v>-1755000</v>
      </c>
      <c r="P60" s="23" t="str">
        <f ca="1">IF(AND(OFFSET(家賃シミュレーションシート!$Q$16,P$53,0)&gt;=$B60,OFFSET(家賃シミュレーションシート!$O$16,P$53,0)+OFFSET(家賃シミュレーションシート!$S$16,P$53,0)&gt;20000000,OFFSET(家賃シミュレーションシート!$E$16,P$53,0)&lt;65),"●","-")</f>
        <v>-</v>
      </c>
      <c r="Q60" s="3">
        <f ca="1">OFFSET(家賃シミュレーションシート!$Q$16,Q$53,0)-1755000</f>
        <v>-1755000</v>
      </c>
      <c r="R60" s="23" t="str">
        <f ca="1">IF(AND(OFFSET(家賃シミュレーションシート!$Q$16,R$53,0)&gt;=$B60,OFFSET(家賃シミュレーションシート!$O$16,R$53,0)+OFFSET(家賃シミュレーションシート!$S$16,R$53,0)&gt;20000000,OFFSET(家賃シミュレーションシート!$E$16,R$53,0)&lt;65),"●","-")</f>
        <v>-</v>
      </c>
      <c r="S60" s="3">
        <f ca="1">OFFSET(家賃シミュレーションシート!$Q$16,S$53,0)-1755000</f>
        <v>-1755000</v>
      </c>
      <c r="T60" s="23" t="str">
        <f ca="1">IF(AND(OFFSET(家賃シミュレーションシート!$Q$16,T$53,0)&gt;=$B60,OFFSET(家賃シミュレーションシート!$O$16,T$53,0)+OFFSET(家賃シミュレーションシート!$S$16,T$53,0)&gt;20000000,OFFSET(家賃シミュレーションシート!$E$16,T$53,0)&lt;65),"●","-")</f>
        <v>-</v>
      </c>
    </row>
    <row r="61" spans="1:20" ht="18" customHeight="1" x14ac:dyDescent="0.15">
      <c r="A61" s="16"/>
      <c r="B61" s="1" t="s">
        <v>17</v>
      </c>
    </row>
    <row r="62" spans="1:20" ht="18" customHeight="1" x14ac:dyDescent="0.15">
      <c r="A62" s="16"/>
      <c r="B62" s="11" t="s">
        <v>10</v>
      </c>
      <c r="C62" s="11"/>
      <c r="D62" s="15" t="s">
        <v>11</v>
      </c>
      <c r="E62" s="2">
        <v>0</v>
      </c>
      <c r="F62" s="2">
        <v>0</v>
      </c>
      <c r="G62" s="2">
        <v>2</v>
      </c>
      <c r="H62" s="2">
        <v>2</v>
      </c>
      <c r="I62" s="2">
        <v>4</v>
      </c>
      <c r="J62" s="2">
        <v>4</v>
      </c>
      <c r="K62" s="2">
        <v>6</v>
      </c>
      <c r="L62" s="2">
        <v>6</v>
      </c>
      <c r="M62" s="2">
        <v>8</v>
      </c>
      <c r="N62" s="2">
        <v>8</v>
      </c>
      <c r="O62" s="2">
        <v>10</v>
      </c>
      <c r="P62" s="2">
        <v>10</v>
      </c>
      <c r="Q62" s="2">
        <v>12</v>
      </c>
      <c r="R62" s="2">
        <v>12</v>
      </c>
      <c r="S62" s="2">
        <v>14</v>
      </c>
      <c r="T62" s="2">
        <v>14</v>
      </c>
    </row>
    <row r="63" spans="1:20" ht="18" customHeight="1" x14ac:dyDescent="0.15">
      <c r="A63" s="16"/>
      <c r="B63" s="13" t="s">
        <v>2</v>
      </c>
      <c r="C63" s="13" t="s">
        <v>3</v>
      </c>
      <c r="D63" s="14" t="s">
        <v>4</v>
      </c>
      <c r="E63" s="22" t="s">
        <v>45</v>
      </c>
      <c r="F63" s="22"/>
      <c r="G63" s="22" t="s">
        <v>38</v>
      </c>
      <c r="H63" s="22"/>
      <c r="I63" s="22" t="s">
        <v>39</v>
      </c>
      <c r="J63" s="22"/>
      <c r="K63" s="22" t="s">
        <v>40</v>
      </c>
      <c r="L63" s="22"/>
      <c r="M63" s="22" t="s">
        <v>41</v>
      </c>
      <c r="N63" s="22"/>
      <c r="O63" s="22" t="s">
        <v>42</v>
      </c>
      <c r="P63" s="22"/>
      <c r="Q63" s="22" t="s">
        <v>467</v>
      </c>
      <c r="R63" s="22"/>
      <c r="S63" s="22" t="s">
        <v>468</v>
      </c>
      <c r="T63" s="22"/>
    </row>
    <row r="64" spans="1:20" ht="18" customHeight="1" x14ac:dyDescent="0.15">
      <c r="A64" s="16"/>
      <c r="B64" s="3"/>
      <c r="C64" s="3">
        <v>900000</v>
      </c>
      <c r="D64" s="8">
        <v>0</v>
      </c>
      <c r="E64" s="3">
        <v>0</v>
      </c>
      <c r="F64" s="23" t="str">
        <f ca="1">IF(AND(OFFSET(家賃シミュレーションシート!$Q$16,F$62,0)&lt;=$C64,OFFSET(家賃シミュレーションシート!$O$16,F$62,0)+OFFSET(家賃シミュレーションシート!$S$16,F$62,0)&gt;20000000,OFFSET(家賃シミュレーションシート!$E$16,F$62,0)&gt;=65),"●","-")</f>
        <v>-</v>
      </c>
      <c r="G64" s="3">
        <v>0</v>
      </c>
      <c r="H64" s="23" t="str">
        <f ca="1">IF(AND(OFFSET(家賃シミュレーションシート!$Q$16,H$62,0)&lt;=$C64,OFFSET(家賃シミュレーションシート!$O$16,H$62,0)+OFFSET(家賃シミュレーションシート!$S$16,H$62,0)&gt;20000000,OFFSET(家賃シミュレーションシート!$E$16,H$62,0)&gt;=65),"●","-")</f>
        <v>-</v>
      </c>
      <c r="I64" s="3">
        <v>0</v>
      </c>
      <c r="J64" s="23" t="str">
        <f ca="1">IF(AND(OFFSET(家賃シミュレーションシート!$Q$16,J$62,0)&lt;=$C64,OFFSET(家賃シミュレーションシート!$O$16,J$62,0)+OFFSET(家賃シミュレーションシート!$S$16,J$62,0)&gt;20000000,OFFSET(家賃シミュレーションシート!$E$16,J$62,0)&gt;=65),"●","-")</f>
        <v>-</v>
      </c>
      <c r="K64" s="3">
        <v>0</v>
      </c>
      <c r="L64" s="23" t="str">
        <f ca="1">IF(AND(OFFSET(家賃シミュレーションシート!$Q$16,L$62,0)&lt;=$C64,OFFSET(家賃シミュレーションシート!$O$16,L$62,0)+OFFSET(家賃シミュレーションシート!$S$16,L$62,0)&gt;20000000,OFFSET(家賃シミュレーションシート!$E$16,L$62,0)&gt;=65),"●","-")</f>
        <v>-</v>
      </c>
      <c r="M64" s="3">
        <v>0</v>
      </c>
      <c r="N64" s="23" t="str">
        <f ca="1">IF(AND(OFFSET(家賃シミュレーションシート!$Q$16,N$62,0)&lt;=$C64,OFFSET(家賃シミュレーションシート!$O$16,N$62,0)+OFFSET(家賃シミュレーションシート!$S$16,N$62,0)&gt;20000000,OFFSET(家賃シミュレーションシート!$E$16,N$62,0)&gt;=65),"●","-")</f>
        <v>-</v>
      </c>
      <c r="O64" s="3">
        <v>0</v>
      </c>
      <c r="P64" s="23" t="str">
        <f ca="1">IF(AND(OFFSET(家賃シミュレーションシート!$Q$16,P$62,0)&lt;=$C64,OFFSET(家賃シミュレーションシート!$O$16,P$62,0)+OFFSET(家賃シミュレーションシート!$S$16,P$62,0)&gt;20000000,OFFSET(家賃シミュレーションシート!$E$16,P$62,0)&gt;=65),"●","-")</f>
        <v>-</v>
      </c>
      <c r="Q64" s="3">
        <v>0</v>
      </c>
      <c r="R64" s="23" t="str">
        <f ca="1">IF(AND(OFFSET(家賃シミュレーションシート!$Q$16,R$62,0)&lt;=$C64,OFFSET(家賃シミュレーションシート!$O$16,R$62,0)+OFFSET(家賃シミュレーションシート!$S$16,R$62,0)&gt;20000000,OFFSET(家賃シミュレーションシート!$E$16,R$62,0)&gt;=65),"●","-")</f>
        <v>-</v>
      </c>
      <c r="S64" s="3">
        <v>0</v>
      </c>
      <c r="T64" s="23" t="str">
        <f ca="1">IF(AND(OFFSET(家賃シミュレーションシート!$Q$16,T$62,0)&lt;=$C64,OFFSET(家賃シミュレーションシート!$O$16,T$62,0)+OFFSET(家賃シミュレーションシート!$S$16,T$62,0)&gt;20000000,OFFSET(家賃シミュレーションシート!$E$16,T$62,0)&gt;=65),"●","-")</f>
        <v>-</v>
      </c>
    </row>
    <row r="65" spans="1:20" ht="18" customHeight="1" x14ac:dyDescent="0.15">
      <c r="A65" s="16"/>
      <c r="B65" s="3">
        <v>900001</v>
      </c>
      <c r="C65" s="3">
        <v>3299999</v>
      </c>
      <c r="D65" s="8" t="s">
        <v>33</v>
      </c>
      <c r="E65" s="3">
        <f ca="1">OFFSET(家賃シミュレーションシート!$Q$16,E62,0)-900000</f>
        <v>-900000</v>
      </c>
      <c r="F65" s="23" t="str">
        <f ca="1">IF(AND(OFFSET(家賃シミュレーションシート!$Q$16,F$62,0)&gt;=$B65,OFFSET(家賃シミュレーションシート!$Q$16,F$62,0)&lt;=$C65,OFFSET(家賃シミュレーションシート!$O$16,F$62,0)+OFFSET(家賃シミュレーションシート!$S$16,F$62,0)&gt;20000000,OFFSET(家賃シミュレーションシート!$E$16,F$62,0)&gt;=65),"●","-")</f>
        <v>-</v>
      </c>
      <c r="G65" s="3">
        <f ca="1">OFFSET(家賃シミュレーションシート!$Q$16,G62,0)-900000</f>
        <v>-900000</v>
      </c>
      <c r="H65" s="23" t="str">
        <f ca="1">IF(AND(OFFSET(家賃シミュレーションシート!$Q$16,H$62,0)&gt;=$B65,OFFSET(家賃シミュレーションシート!$Q$16,H$62,0)&lt;=$C65,OFFSET(家賃シミュレーションシート!$O$16,H$62,0)+OFFSET(家賃シミュレーションシート!$S$16,H$62,0)&gt;20000000,OFFSET(家賃シミュレーションシート!$E$16,H$62,0)&gt;=65),"●","-")</f>
        <v>-</v>
      </c>
      <c r="I65" s="3">
        <f ca="1">OFFSET(家賃シミュレーションシート!$Q$16,I62,0)-900000</f>
        <v>-900000</v>
      </c>
      <c r="J65" s="23" t="str">
        <f ca="1">IF(AND(OFFSET(家賃シミュレーションシート!$Q$16,J$62,0)&gt;=$B65,OFFSET(家賃シミュレーションシート!$Q$16,J$62,0)&lt;=$C65,OFFSET(家賃シミュレーションシート!$O$16,J$62,0)+OFFSET(家賃シミュレーションシート!$S$16,J$62,0)&gt;20000000,OFFSET(家賃シミュレーションシート!$E$16,J$62,0)&gt;=65),"●","-")</f>
        <v>-</v>
      </c>
      <c r="K65" s="3">
        <f ca="1">OFFSET(家賃シミュレーションシート!$Q$16,K62,0)-900000</f>
        <v>-900000</v>
      </c>
      <c r="L65" s="23" t="str">
        <f ca="1">IF(AND(OFFSET(家賃シミュレーションシート!$Q$16,L$62,0)&gt;=$B65,OFFSET(家賃シミュレーションシート!$Q$16,L$62,0)&lt;=$C65,OFFSET(家賃シミュレーションシート!$O$16,L$62,0)+OFFSET(家賃シミュレーションシート!$S$16,L$62,0)&gt;20000000,OFFSET(家賃シミュレーションシート!$E$16,L$62,0)&gt;=65),"●","-")</f>
        <v>-</v>
      </c>
      <c r="M65" s="3">
        <f ca="1">OFFSET(家賃シミュレーションシート!$Q$16,M62,0)-900000</f>
        <v>-900000</v>
      </c>
      <c r="N65" s="23" t="str">
        <f ca="1">IF(AND(OFFSET(家賃シミュレーションシート!$Q$16,N$62,0)&gt;=$B65,OFFSET(家賃シミュレーションシート!$Q$16,N$62,0)&lt;=$C65,OFFSET(家賃シミュレーションシート!$O$16,N$62,0)+OFFSET(家賃シミュレーションシート!$S$16,N$62,0)&gt;20000000,OFFSET(家賃シミュレーションシート!$E$16,N$62,0)&gt;=65),"●","-")</f>
        <v>-</v>
      </c>
      <c r="O65" s="3">
        <f ca="1">OFFSET(家賃シミュレーションシート!$Q$16,O62,0)-900000</f>
        <v>-900000</v>
      </c>
      <c r="P65" s="23" t="str">
        <f ca="1">IF(AND(OFFSET(家賃シミュレーションシート!$Q$16,P$62,0)&gt;=$B65,OFFSET(家賃シミュレーションシート!$Q$16,P$62,0)&lt;=$C65,OFFSET(家賃シミュレーションシート!$O$16,P$62,0)+OFFSET(家賃シミュレーションシート!$S$16,P$62,0)&gt;20000000,OFFSET(家賃シミュレーションシート!$E$16,P$62,0)&gt;=65),"●","-")</f>
        <v>-</v>
      </c>
      <c r="Q65" s="3">
        <f ca="1">OFFSET(家賃シミュレーションシート!$Q$16,Q62,0)-900000</f>
        <v>-900000</v>
      </c>
      <c r="R65" s="23" t="str">
        <f ca="1">IF(AND(OFFSET(家賃シミュレーションシート!$Q$16,R$62,0)&gt;=$B65,OFFSET(家賃シミュレーションシート!$Q$16,R$62,0)&lt;=$C65,OFFSET(家賃シミュレーションシート!$O$16,R$62,0)+OFFSET(家賃シミュレーションシート!$S$16,R$62,0)&gt;20000000,OFFSET(家賃シミュレーションシート!$E$16,R$62,0)&gt;=65),"●","-")</f>
        <v>-</v>
      </c>
      <c r="S65" s="3">
        <f ca="1">OFFSET(家賃シミュレーションシート!$Q$16,S62,0)-900000</f>
        <v>-900000</v>
      </c>
      <c r="T65" s="23" t="str">
        <f ca="1">IF(AND(OFFSET(家賃シミュレーションシート!$Q$16,T$62,0)&gt;=$B65,OFFSET(家賃シミュレーションシート!$Q$16,T$62,0)&lt;=$C65,OFFSET(家賃シミュレーションシート!$O$16,T$62,0)+OFFSET(家賃シミュレーションシート!$S$16,T$62,0)&gt;20000000,OFFSET(家賃シミュレーションシート!$E$16,T$62,0)&gt;=65),"●","-")</f>
        <v>-</v>
      </c>
    </row>
    <row r="66" spans="1:20" ht="18" customHeight="1" x14ac:dyDescent="0.15">
      <c r="A66" s="16"/>
      <c r="B66" s="3">
        <v>3300000</v>
      </c>
      <c r="C66" s="3">
        <v>4099999</v>
      </c>
      <c r="D66" s="8" t="s">
        <v>29</v>
      </c>
      <c r="E66" s="3">
        <f ca="1">OFFSET(家賃シミュレーションシート!$Q$16,E62,0)*0.75-75000</f>
        <v>-75000</v>
      </c>
      <c r="F66" s="23" t="str">
        <f ca="1">IF(AND(OFFSET(家賃シミュレーションシート!$Q$16,F$62,0)&gt;=$B66,OFFSET(家賃シミュレーションシート!$Q$16,F$62,0)&lt;=$C66,OFFSET(家賃シミュレーションシート!$O$16,F$62,0)+OFFSET(家賃シミュレーションシート!$S$16,F$62,0)&gt;20000000,OFFSET(家賃シミュレーションシート!$E$16,F$62,0)&gt;=65),"●","-")</f>
        <v>-</v>
      </c>
      <c r="G66" s="3">
        <f ca="1">OFFSET(家賃シミュレーションシート!$Q$16,G62,0)*0.75-75000</f>
        <v>-75000</v>
      </c>
      <c r="H66" s="23" t="str">
        <f ca="1">IF(AND(OFFSET(家賃シミュレーションシート!$Q$16,H$62,0)&gt;=$B66,OFFSET(家賃シミュレーションシート!$Q$16,H$62,0)&lt;=$C66,OFFSET(家賃シミュレーションシート!$O$16,H$62,0)+OFFSET(家賃シミュレーションシート!$S$16,H$62,0)&gt;20000000,OFFSET(家賃シミュレーションシート!$E$16,H$62,0)&gt;=65),"●","-")</f>
        <v>-</v>
      </c>
      <c r="I66" s="3">
        <f ca="1">OFFSET(家賃シミュレーションシート!$Q$16,I62,0)*0.75-75000</f>
        <v>-75000</v>
      </c>
      <c r="J66" s="23" t="str">
        <f ca="1">IF(AND(OFFSET(家賃シミュレーションシート!$Q$16,J$62,0)&gt;=$B66,OFFSET(家賃シミュレーションシート!$Q$16,J$62,0)&lt;=$C66,OFFSET(家賃シミュレーションシート!$O$16,J$62,0)+OFFSET(家賃シミュレーションシート!$S$16,J$62,0)&gt;20000000,OFFSET(家賃シミュレーションシート!$E$16,J$62,0)&gt;=65),"●","-")</f>
        <v>-</v>
      </c>
      <c r="K66" s="3">
        <f ca="1">OFFSET(家賃シミュレーションシート!$Q$16,K62,0)*0.75-75000</f>
        <v>-75000</v>
      </c>
      <c r="L66" s="23" t="str">
        <f ca="1">IF(AND(OFFSET(家賃シミュレーションシート!$Q$16,L$62,0)&gt;=$B66,OFFSET(家賃シミュレーションシート!$Q$16,L$62,0)&lt;=$C66,OFFSET(家賃シミュレーションシート!$O$16,L$62,0)+OFFSET(家賃シミュレーションシート!$S$16,L$62,0)&gt;20000000,OFFSET(家賃シミュレーションシート!$E$16,L$62,0)&gt;=65),"●","-")</f>
        <v>-</v>
      </c>
      <c r="M66" s="3">
        <f ca="1">OFFSET(家賃シミュレーションシート!$Q$16,M62,0)*0.75-75000</f>
        <v>-75000</v>
      </c>
      <c r="N66" s="23" t="str">
        <f ca="1">IF(AND(OFFSET(家賃シミュレーションシート!$Q$16,N$62,0)&gt;=$B66,OFFSET(家賃シミュレーションシート!$Q$16,N$62,0)&lt;=$C66,OFFSET(家賃シミュレーションシート!$O$16,N$62,0)+OFFSET(家賃シミュレーションシート!$S$16,N$62,0)&gt;20000000,OFFSET(家賃シミュレーションシート!$E$16,N$62,0)&gt;=65),"●","-")</f>
        <v>-</v>
      </c>
      <c r="O66" s="3">
        <f ca="1">OFFSET(家賃シミュレーションシート!$Q$16,O62,0)*0.75-75000</f>
        <v>-75000</v>
      </c>
      <c r="P66" s="23" t="str">
        <f ca="1">IF(AND(OFFSET(家賃シミュレーションシート!$Q$16,P$62,0)&gt;=$B66,OFFSET(家賃シミュレーションシート!$Q$16,P$62,0)&lt;=$C66,OFFSET(家賃シミュレーションシート!$O$16,P$62,0)+OFFSET(家賃シミュレーションシート!$S$16,P$62,0)&gt;20000000,OFFSET(家賃シミュレーションシート!$E$16,P$62,0)&gt;=65),"●","-")</f>
        <v>-</v>
      </c>
      <c r="Q66" s="3">
        <f ca="1">OFFSET(家賃シミュレーションシート!$Q$16,Q62,0)*0.75-75000</f>
        <v>-75000</v>
      </c>
      <c r="R66" s="23" t="str">
        <f ca="1">IF(AND(OFFSET(家賃シミュレーションシート!$Q$16,R$62,0)&gt;=$B66,OFFSET(家賃シミュレーションシート!$Q$16,R$62,0)&lt;=$C66,OFFSET(家賃シミュレーションシート!$O$16,R$62,0)+OFFSET(家賃シミュレーションシート!$S$16,R$62,0)&gt;20000000,OFFSET(家賃シミュレーションシート!$E$16,R$62,0)&gt;=65),"●","-")</f>
        <v>-</v>
      </c>
      <c r="S66" s="3">
        <f ca="1">OFFSET(家賃シミュレーションシート!$Q$16,S62,0)*0.75-75000</f>
        <v>-75000</v>
      </c>
      <c r="T66" s="23" t="str">
        <f ca="1">IF(AND(OFFSET(家賃シミュレーションシート!$Q$16,T$62,0)&gt;=$B66,OFFSET(家賃シミュレーションシート!$Q$16,T$62,0)&lt;=$C66,OFFSET(家賃シミュレーションシート!$O$16,T$62,0)+OFFSET(家賃シミュレーションシート!$S$16,T$62,0)&gt;20000000,OFFSET(家賃シミュレーションシート!$E$16,T$62,0)&gt;=65),"●","-")</f>
        <v>-</v>
      </c>
    </row>
    <row r="67" spans="1:20" ht="18" customHeight="1" x14ac:dyDescent="0.15">
      <c r="A67" s="16"/>
      <c r="B67" s="3">
        <v>4100000</v>
      </c>
      <c r="C67" s="3">
        <v>7699999</v>
      </c>
      <c r="D67" s="8" t="s">
        <v>30</v>
      </c>
      <c r="E67" s="3">
        <f ca="1">OFFSET(家賃シミュレーションシート!$Q$16,E62,0)*0.85-485000</f>
        <v>-485000</v>
      </c>
      <c r="F67" s="23" t="str">
        <f ca="1">IF(AND(OFFSET(家賃シミュレーションシート!$Q$16,F$62,0)&gt;=$B67,OFFSET(家賃シミュレーションシート!$Q$16,F$62,0)&lt;=$C67,OFFSET(家賃シミュレーションシート!$O$16,F$62,0)+OFFSET(家賃シミュレーションシート!$S$16,F$62,0)&gt;20000000,OFFSET(家賃シミュレーションシート!$E$16,F$62,0)&gt;=65),"●","-")</f>
        <v>-</v>
      </c>
      <c r="G67" s="3">
        <f ca="1">OFFSET(家賃シミュレーションシート!$Q$16,G62,0)*0.85-485000</f>
        <v>-485000</v>
      </c>
      <c r="H67" s="23" t="str">
        <f ca="1">IF(AND(OFFSET(家賃シミュレーションシート!$Q$16,H$62,0)&gt;=$B67,OFFSET(家賃シミュレーションシート!$Q$16,H$62,0)&lt;=$C67,OFFSET(家賃シミュレーションシート!$O$16,H$62,0)+OFFSET(家賃シミュレーションシート!$S$16,H$62,0)&gt;20000000,OFFSET(家賃シミュレーションシート!$E$16,H$62,0)&gt;=65),"●","-")</f>
        <v>-</v>
      </c>
      <c r="I67" s="3">
        <f ca="1">OFFSET(家賃シミュレーションシート!$Q$16,I62,0)*0.85-485000</f>
        <v>-485000</v>
      </c>
      <c r="J67" s="23" t="str">
        <f ca="1">IF(AND(OFFSET(家賃シミュレーションシート!$Q$16,J$62,0)&gt;=$B67,OFFSET(家賃シミュレーションシート!$Q$16,J$62,0)&lt;=$C67,OFFSET(家賃シミュレーションシート!$O$16,J$62,0)+OFFSET(家賃シミュレーションシート!$S$16,J$62,0)&gt;20000000,OFFSET(家賃シミュレーションシート!$E$16,J$62,0)&gt;=65),"●","-")</f>
        <v>-</v>
      </c>
      <c r="K67" s="3">
        <f ca="1">OFFSET(家賃シミュレーションシート!$Q$16,K62,0)*0.85-485000</f>
        <v>-485000</v>
      </c>
      <c r="L67" s="23" t="str">
        <f ca="1">IF(AND(OFFSET(家賃シミュレーションシート!$Q$16,L$62,0)&gt;=$B67,OFFSET(家賃シミュレーションシート!$Q$16,L$62,0)&lt;=$C67,OFFSET(家賃シミュレーションシート!$O$16,L$62,0)+OFFSET(家賃シミュレーションシート!$S$16,L$62,0)&gt;20000000,OFFSET(家賃シミュレーションシート!$E$16,L$62,0)&gt;=65),"●","-")</f>
        <v>-</v>
      </c>
      <c r="M67" s="3">
        <f ca="1">OFFSET(家賃シミュレーションシート!$Q$16,M62,0)*0.85-485000</f>
        <v>-485000</v>
      </c>
      <c r="N67" s="23" t="str">
        <f ca="1">IF(AND(OFFSET(家賃シミュレーションシート!$Q$16,N$62,0)&gt;=$B67,OFFSET(家賃シミュレーションシート!$Q$16,N$62,0)&lt;=$C67,OFFSET(家賃シミュレーションシート!$O$16,N$62,0)+OFFSET(家賃シミュレーションシート!$S$16,N$62,0)&gt;20000000,OFFSET(家賃シミュレーションシート!$E$16,N$62,0)&gt;=65),"●","-")</f>
        <v>-</v>
      </c>
      <c r="O67" s="3">
        <f ca="1">OFFSET(家賃シミュレーションシート!$Q$16,O62,0)*0.85-485000</f>
        <v>-485000</v>
      </c>
      <c r="P67" s="23" t="str">
        <f ca="1">IF(AND(OFFSET(家賃シミュレーションシート!$Q$16,P$62,0)&gt;=$B67,OFFSET(家賃シミュレーションシート!$Q$16,P$62,0)&lt;=$C67,OFFSET(家賃シミュレーションシート!$O$16,P$62,0)+OFFSET(家賃シミュレーションシート!$S$16,P$62,0)&gt;20000000,OFFSET(家賃シミュレーションシート!$E$16,P$62,0)&gt;=65),"●","-")</f>
        <v>-</v>
      </c>
      <c r="Q67" s="3">
        <f ca="1">OFFSET(家賃シミュレーションシート!$Q$16,Q62,0)*0.85-485000</f>
        <v>-485000</v>
      </c>
      <c r="R67" s="23" t="str">
        <f ca="1">IF(AND(OFFSET(家賃シミュレーションシート!$Q$16,R$62,0)&gt;=$B67,OFFSET(家賃シミュレーションシート!$Q$16,R$62,0)&lt;=$C67,OFFSET(家賃シミュレーションシート!$O$16,R$62,0)+OFFSET(家賃シミュレーションシート!$S$16,R$62,0)&gt;20000000,OFFSET(家賃シミュレーションシート!$E$16,R$62,0)&gt;=65),"●","-")</f>
        <v>-</v>
      </c>
      <c r="S67" s="3">
        <f ca="1">OFFSET(家賃シミュレーションシート!$Q$16,S62,0)*0.85-485000</f>
        <v>-485000</v>
      </c>
      <c r="T67" s="23" t="str">
        <f ca="1">IF(AND(OFFSET(家賃シミュレーションシート!$Q$16,T$62,0)&gt;=$B67,OFFSET(家賃シミュレーションシート!$Q$16,T$62,0)&lt;=$C67,OFFSET(家賃シミュレーションシート!$O$16,T$62,0)+OFFSET(家賃シミュレーションシート!$S$16,T$62,0)&gt;20000000,OFFSET(家賃シミュレーションシート!$E$16,T$62,0)&gt;=65),"●","-")</f>
        <v>-</v>
      </c>
    </row>
    <row r="68" spans="1:20" ht="18" customHeight="1" x14ac:dyDescent="0.15">
      <c r="A68" s="16"/>
      <c r="B68" s="3">
        <v>7700000</v>
      </c>
      <c r="C68" s="3">
        <v>9999999</v>
      </c>
      <c r="D68" s="8" t="s">
        <v>31</v>
      </c>
      <c r="E68" s="3">
        <f ca="1">OFFSET(家賃シミュレーションシート!$Q$16,E62,0)*0.95-1255000</f>
        <v>-1255000</v>
      </c>
      <c r="F68" s="23" t="str">
        <f ca="1">IF(AND(OFFSET(家賃シミュレーションシート!$Q$16,F$62,0)&gt;=$B68,OFFSET(家賃シミュレーションシート!$Q$16,F$62,0)&lt;=$C68,OFFSET(家賃シミュレーションシート!$O$16,F$62,0)+OFFSET(家賃シミュレーションシート!$S$16,F$62,0)&gt;20000000,OFFSET(家賃シミュレーションシート!$E$16,F$62,0)&gt;=65),"●","-")</f>
        <v>-</v>
      </c>
      <c r="G68" s="3">
        <f ca="1">OFFSET(家賃シミュレーションシート!$Q$16,G62,0)*0.95-1255000</f>
        <v>-1255000</v>
      </c>
      <c r="H68" s="23" t="str">
        <f ca="1">IF(AND(OFFSET(家賃シミュレーションシート!$Q$16,H$62,0)&gt;=$B68,OFFSET(家賃シミュレーションシート!$Q$16,H$62,0)&lt;=$C68,OFFSET(家賃シミュレーションシート!$O$16,H$62,0)+OFFSET(家賃シミュレーションシート!$S$16,H$62,0)&gt;20000000,OFFSET(家賃シミュレーションシート!$E$16,H$62,0)&gt;=65),"●","-")</f>
        <v>-</v>
      </c>
      <c r="I68" s="3">
        <f ca="1">OFFSET(家賃シミュレーションシート!$Q$16,I62,0)*0.95-1255000</f>
        <v>-1255000</v>
      </c>
      <c r="J68" s="23" t="str">
        <f ca="1">IF(AND(OFFSET(家賃シミュレーションシート!$Q$16,J$62,0)&gt;=$B68,OFFSET(家賃シミュレーションシート!$Q$16,J$62,0)&lt;=$C68,OFFSET(家賃シミュレーションシート!$O$16,J$62,0)+OFFSET(家賃シミュレーションシート!$S$16,J$62,0)&gt;20000000,OFFSET(家賃シミュレーションシート!$E$16,J$62,0)&gt;=65),"●","-")</f>
        <v>-</v>
      </c>
      <c r="K68" s="3">
        <f ca="1">OFFSET(家賃シミュレーションシート!$Q$16,K62,0)*0.95-1255000</f>
        <v>-1255000</v>
      </c>
      <c r="L68" s="23" t="str">
        <f ca="1">IF(AND(OFFSET(家賃シミュレーションシート!$Q$16,L$62,0)&gt;=$B68,OFFSET(家賃シミュレーションシート!$Q$16,L$62,0)&lt;=$C68,OFFSET(家賃シミュレーションシート!$O$16,L$62,0)+OFFSET(家賃シミュレーションシート!$S$16,L$62,0)&gt;20000000,OFFSET(家賃シミュレーションシート!$E$16,L$62,0)&gt;=65),"●","-")</f>
        <v>-</v>
      </c>
      <c r="M68" s="3">
        <f ca="1">OFFSET(家賃シミュレーションシート!$Q$16,M62,0)*0.95-1255000</f>
        <v>-1255000</v>
      </c>
      <c r="N68" s="23" t="str">
        <f ca="1">IF(AND(OFFSET(家賃シミュレーションシート!$Q$16,N$62,0)&gt;=$B68,OFFSET(家賃シミュレーションシート!$Q$16,N$62,0)&lt;=$C68,OFFSET(家賃シミュレーションシート!$O$16,N$62,0)+OFFSET(家賃シミュレーションシート!$S$16,N$62,0)&gt;20000000,OFFSET(家賃シミュレーションシート!$E$16,N$62,0)&gt;=65),"●","-")</f>
        <v>-</v>
      </c>
      <c r="O68" s="3">
        <f ca="1">OFFSET(家賃シミュレーションシート!$Q$16,O62,0)*0.95-1255000</f>
        <v>-1255000</v>
      </c>
      <c r="P68" s="23" t="str">
        <f ca="1">IF(AND(OFFSET(家賃シミュレーションシート!$Q$16,P$62,0)&gt;=$B68,OFFSET(家賃シミュレーションシート!$Q$16,P$62,0)&lt;=$C68,OFFSET(家賃シミュレーションシート!$O$16,P$62,0)+OFFSET(家賃シミュレーションシート!$S$16,P$62,0)&gt;20000000,OFFSET(家賃シミュレーションシート!$E$16,P$62,0)&gt;=65),"●","-")</f>
        <v>-</v>
      </c>
      <c r="Q68" s="3">
        <f ca="1">OFFSET(家賃シミュレーションシート!$Q$16,Q62,0)*0.95-1255000</f>
        <v>-1255000</v>
      </c>
      <c r="R68" s="23" t="str">
        <f ca="1">IF(AND(OFFSET(家賃シミュレーションシート!$Q$16,R$62,0)&gt;=$B68,OFFSET(家賃シミュレーションシート!$Q$16,R$62,0)&lt;=$C68,OFFSET(家賃シミュレーションシート!$O$16,R$62,0)+OFFSET(家賃シミュレーションシート!$S$16,R$62,0)&gt;20000000,OFFSET(家賃シミュレーションシート!$E$16,R$62,0)&gt;=65),"●","-")</f>
        <v>-</v>
      </c>
      <c r="S68" s="3">
        <f ca="1">OFFSET(家賃シミュレーションシート!$Q$16,S62,0)*0.95-1255000</f>
        <v>-1255000</v>
      </c>
      <c r="T68" s="23" t="str">
        <f ca="1">IF(AND(OFFSET(家賃シミュレーションシート!$Q$16,T$62,0)&gt;=$B68,OFFSET(家賃シミュレーションシート!$Q$16,T$62,0)&lt;=$C68,OFFSET(家賃シミュレーションシート!$O$16,T$62,0)+OFFSET(家賃シミュレーションシート!$S$16,T$62,0)&gt;20000000,OFFSET(家賃シミュレーションシート!$E$16,T$62,0)&gt;=65),"●","-")</f>
        <v>-</v>
      </c>
    </row>
    <row r="69" spans="1:20" ht="18" customHeight="1" x14ac:dyDescent="0.15">
      <c r="A69" s="16"/>
      <c r="B69" s="3">
        <v>10000000</v>
      </c>
      <c r="C69" s="3"/>
      <c r="D69" s="8" t="s">
        <v>32</v>
      </c>
      <c r="E69" s="3">
        <f ca="1">OFFSET(家賃シミュレーションシート!$Q$16,E62,0)-1755000</f>
        <v>-1755000</v>
      </c>
      <c r="F69" s="23" t="str">
        <f ca="1">IF(AND(OFFSET(家賃シミュレーションシート!$Q$16,F$62,0)&gt;=$B69,OFFSET(家賃シミュレーションシート!$O$16,F$62,0)+OFFSET(家賃シミュレーションシート!$S$16,F$62,0)&gt;20000000,OFFSET(家賃シミュレーションシート!$E$16,F$62,0)&gt;=65),"●","-")</f>
        <v>-</v>
      </c>
      <c r="G69" s="3">
        <f ca="1">OFFSET(家賃シミュレーションシート!$Q$16,G62,0)-1755000</f>
        <v>-1755000</v>
      </c>
      <c r="H69" s="23" t="str">
        <f ca="1">IF(AND(OFFSET(家賃シミュレーションシート!$Q$16,H$62,0)&gt;=$B69,OFFSET(家賃シミュレーションシート!$O$16,H$62,0)+OFFSET(家賃シミュレーションシート!$S$16,H$62,0)&gt;20000000,OFFSET(家賃シミュレーションシート!$E$16,H$62,0)&gt;=65),"●","-")</f>
        <v>-</v>
      </c>
      <c r="I69" s="3">
        <f ca="1">OFFSET(家賃シミュレーションシート!$Q$16,I62,0)-1755000</f>
        <v>-1755000</v>
      </c>
      <c r="J69" s="23" t="str">
        <f ca="1">IF(AND(OFFSET(家賃シミュレーションシート!$Q$16,J$62,0)&gt;=$B69,OFFSET(家賃シミュレーションシート!$O$16,J$62,0)+OFFSET(家賃シミュレーションシート!$S$16,J$62,0)&gt;20000000,OFFSET(家賃シミュレーションシート!$E$16,J$62,0)&gt;=65),"●","-")</f>
        <v>-</v>
      </c>
      <c r="K69" s="3">
        <f ca="1">OFFSET(家賃シミュレーションシート!$Q$16,K62,0)-1755000</f>
        <v>-1755000</v>
      </c>
      <c r="L69" s="23" t="str">
        <f ca="1">IF(AND(OFFSET(家賃シミュレーションシート!$Q$16,L$62,0)&gt;=$B69,OFFSET(家賃シミュレーションシート!$O$16,L$62,0)+OFFSET(家賃シミュレーションシート!$S$16,L$62,0)&gt;20000000,OFFSET(家賃シミュレーションシート!$E$16,L$62,0)&gt;=65),"●","-")</f>
        <v>-</v>
      </c>
      <c r="M69" s="3">
        <f ca="1">OFFSET(家賃シミュレーションシート!$Q$16,M62,0)-1755000</f>
        <v>-1755000</v>
      </c>
      <c r="N69" s="23" t="str">
        <f ca="1">IF(AND(OFFSET(家賃シミュレーションシート!$Q$16,N$62,0)&gt;=$B69,OFFSET(家賃シミュレーションシート!$O$16,N$62,0)+OFFSET(家賃シミュレーションシート!$S$16,N$62,0)&gt;20000000,OFFSET(家賃シミュレーションシート!$E$16,N$62,0)&gt;=65),"●","-")</f>
        <v>-</v>
      </c>
      <c r="O69" s="3">
        <f ca="1">OFFSET(家賃シミュレーションシート!$Q$16,O62,0)-1755000</f>
        <v>-1755000</v>
      </c>
      <c r="P69" s="23" t="str">
        <f ca="1">IF(AND(OFFSET(家賃シミュレーションシート!$Q$16,P$62,0)&gt;=$B69,OFFSET(家賃シミュレーションシート!$O$16,P$62,0)+OFFSET(家賃シミュレーションシート!$S$16,P$62,0)&gt;20000000,OFFSET(家賃シミュレーションシート!$E$16,P$62,0)&gt;=65),"●","-")</f>
        <v>-</v>
      </c>
      <c r="Q69" s="3">
        <f ca="1">OFFSET(家賃シミュレーションシート!$Q$16,Q62,0)-1755000</f>
        <v>-1755000</v>
      </c>
      <c r="R69" s="23" t="str">
        <f ca="1">IF(AND(OFFSET(家賃シミュレーションシート!$Q$16,R$62,0)&gt;=$B69,OFFSET(家賃シミュレーションシート!$O$16,R$62,0)+OFFSET(家賃シミュレーションシート!$S$16,R$62,0)&gt;20000000,OFFSET(家賃シミュレーションシート!$E$16,R$62,0)&gt;=65),"●","-")</f>
        <v>-</v>
      </c>
      <c r="S69" s="3">
        <f ca="1">OFFSET(家賃シミュレーションシート!$Q$16,S62,0)-1755000</f>
        <v>-1755000</v>
      </c>
      <c r="T69" s="23" t="str">
        <f ca="1">IF(AND(OFFSET(家賃シミュレーションシート!$Q$16,T$62,0)&gt;=$B69,OFFSET(家賃シミュレーションシート!$O$16,T$62,0)+OFFSET(家賃シミュレーションシート!$S$16,T$62,0)&gt;20000000,OFFSET(家賃シミュレーションシート!$E$16,T$62,0)&gt;=65),"●","-")</f>
        <v>-</v>
      </c>
    </row>
  </sheetData>
  <phoneticPr fontId="4"/>
  <pageMargins left="0.7" right="0.7" top="0.75" bottom="0.75" header="0.3" footer="0.3"/>
  <pageSetup paperSize="9" orientation="portrait" verticalDpi="0" r:id="rId1"/>
  <ignoredErrors>
    <ignoredError sqref="F16:P29 F5 H5 J5 L5 N5 F6 H6 J6 L6 N6 F7 H7 J7 L7 N7 F8 H8 J8 L8 N8 F9 H9 J9 L9 N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14FCA-6D44-49E7-A255-42D26444018D}">
  <sheetPr>
    <pageSetUpPr fitToPage="1"/>
  </sheetPr>
  <dimension ref="B1:EV1031"/>
  <sheetViews>
    <sheetView topLeftCell="R1" zoomScale="70" zoomScaleNormal="70" workbookViewId="0">
      <selection activeCell="E6" sqref="E6"/>
    </sheetView>
  </sheetViews>
  <sheetFormatPr defaultColWidth="11" defaultRowHeight="15" customHeight="1" x14ac:dyDescent="0.15"/>
  <cols>
    <col min="1" max="1" width="3.875" style="27" customWidth="1"/>
    <col min="2" max="2" width="5" style="27" customWidth="1"/>
    <col min="3" max="3" width="27.25" style="27" customWidth="1"/>
    <col min="4" max="4" width="14" style="27" customWidth="1"/>
    <col min="5" max="5" width="14.25" style="27" customWidth="1"/>
    <col min="6" max="6" width="14.875" style="27" customWidth="1"/>
    <col min="7" max="7" width="13.125" style="27" customWidth="1"/>
    <col min="8" max="8" width="8.75" style="27" customWidth="1"/>
    <col min="9" max="9" width="7.5" style="27" customWidth="1"/>
    <col min="10" max="52" width="7" style="27" customWidth="1"/>
    <col min="53" max="53" width="6.875" style="27" customWidth="1"/>
    <col min="54" max="54" width="8.75" style="27" customWidth="1"/>
    <col min="55" max="55" width="4.25" style="27" customWidth="1"/>
    <col min="56" max="56" width="9.125" style="27" customWidth="1"/>
    <col min="57" max="57" width="6.875" style="27" customWidth="1"/>
    <col min="58" max="58" width="9.625" style="27" customWidth="1"/>
    <col min="59" max="152" width="6.875" style="27" customWidth="1"/>
    <col min="153" max="16384" width="11" style="27"/>
  </cols>
  <sheetData>
    <row r="1" spans="2:152" ht="15" customHeight="1" x14ac:dyDescent="0.15">
      <c r="B1" s="28" t="s">
        <v>224</v>
      </c>
      <c r="C1" s="28"/>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row>
    <row r="2" spans="2:152" ht="15" customHeight="1" x14ac:dyDescent="0.15">
      <c r="B2" s="128" t="s">
        <v>103</v>
      </c>
    </row>
    <row r="3" spans="2:152" ht="18.75" customHeight="1" x14ac:dyDescent="0.15">
      <c r="B3" s="30" t="s">
        <v>337</v>
      </c>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row>
    <row r="4" spans="2:152" ht="18.75" customHeight="1" x14ac:dyDescent="0.15">
      <c r="C4" s="30" t="s">
        <v>104</v>
      </c>
      <c r="F4" s="30" t="s">
        <v>447</v>
      </c>
    </row>
    <row r="5" spans="2:152" ht="18.75" customHeight="1" x14ac:dyDescent="0.15">
      <c r="C5" s="135" t="s">
        <v>181</v>
      </c>
      <c r="D5" s="154">
        <v>0.95</v>
      </c>
      <c r="F5" s="129" t="s">
        <v>214</v>
      </c>
      <c r="G5" s="144">
        <v>50</v>
      </c>
    </row>
    <row r="6" spans="2:152" ht="18.75" customHeight="1" x14ac:dyDescent="0.15">
      <c r="C6" s="135" t="s">
        <v>182</v>
      </c>
      <c r="D6" s="154">
        <v>0.97</v>
      </c>
      <c r="F6" s="129" t="s">
        <v>190</v>
      </c>
      <c r="G6" s="144">
        <v>60</v>
      </c>
    </row>
    <row r="7" spans="2:152" ht="18.75" customHeight="1" x14ac:dyDescent="0.15">
      <c r="C7" s="135" t="s">
        <v>183</v>
      </c>
      <c r="D7" s="154">
        <v>0.94</v>
      </c>
      <c r="F7" s="129" t="s">
        <v>215</v>
      </c>
      <c r="G7" s="144">
        <v>70</v>
      </c>
    </row>
    <row r="8" spans="2:152" ht="18.75" customHeight="1" x14ac:dyDescent="0.15">
      <c r="C8" s="135" t="s">
        <v>184</v>
      </c>
      <c r="D8" s="154">
        <v>0.94</v>
      </c>
      <c r="F8" s="129" t="s">
        <v>216</v>
      </c>
      <c r="G8" s="144">
        <v>20</v>
      </c>
    </row>
    <row r="9" spans="2:152" ht="18.75" customHeight="1" x14ac:dyDescent="0.15">
      <c r="C9" s="137" t="s">
        <v>185</v>
      </c>
      <c r="D9" s="154">
        <v>0.8</v>
      </c>
      <c r="F9" s="129" t="s">
        <v>217</v>
      </c>
      <c r="G9" s="144">
        <v>30</v>
      </c>
    </row>
    <row r="10" spans="2:152" ht="18.75" customHeight="1" x14ac:dyDescent="0.15">
      <c r="C10" s="137" t="s">
        <v>186</v>
      </c>
      <c r="D10" s="154">
        <v>0.94</v>
      </c>
      <c r="F10" s="129" t="s">
        <v>218</v>
      </c>
      <c r="G10" s="144">
        <v>40</v>
      </c>
    </row>
    <row r="11" spans="2:152" ht="18.75" customHeight="1" x14ac:dyDescent="0.15">
      <c r="C11" s="137" t="s">
        <v>187</v>
      </c>
      <c r="D11" s="154">
        <v>0.83</v>
      </c>
      <c r="G11" s="34"/>
    </row>
    <row r="12" spans="2:152" ht="18.75" customHeight="1" x14ac:dyDescent="0.15">
      <c r="C12" s="137" t="s">
        <v>188</v>
      </c>
      <c r="D12" s="154">
        <v>0.83</v>
      </c>
      <c r="G12" s="34"/>
    </row>
    <row r="13" spans="2:152" ht="18.75" customHeight="1" x14ac:dyDescent="0.15">
      <c r="C13" s="141"/>
      <c r="D13" s="142"/>
      <c r="G13" s="34"/>
    </row>
    <row r="14" spans="2:152" ht="18.75" customHeight="1" x14ac:dyDescent="0.15">
      <c r="B14" s="31" t="str">
        <f>IF($D$14="耐火構造",1,IF($D$14="準耐火構造",2,IF($D$14="簡易耐火２階建",3,IF($D$14="簡易耐火平屋建",4,IF(D14="木造",5,"")))))</f>
        <v/>
      </c>
      <c r="C14" s="32" t="s">
        <v>269</v>
      </c>
      <c r="D14" s="145" t="str">
        <f>IF(家賃シミュレーションシート!$D$70="復興公営住宅","準耐火構造",IF(家賃シミュレーションシート!$D$70="木造仮設住宅を転用した町営の賃貸住宅","木造","-"))</f>
        <v>-</v>
      </c>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row>
    <row r="15" spans="2:152" ht="18.75" customHeight="1" x14ac:dyDescent="0.15">
      <c r="C15" s="33" t="s">
        <v>271</v>
      </c>
      <c r="D15" s="146">
        <f>IFERROR(VLOOKUP(家賃シミュレーションシート!$D$74,$F$5:$G$10,2,FALSE),0)</f>
        <v>0</v>
      </c>
      <c r="G15" s="34"/>
    </row>
    <row r="16" spans="2:152" ht="18.75" customHeight="1" x14ac:dyDescent="0.15">
      <c r="C16" s="35" t="s">
        <v>272</v>
      </c>
      <c r="D16" s="148">
        <v>0.7</v>
      </c>
    </row>
    <row r="17" spans="2:152" ht="18.75" customHeight="1" x14ac:dyDescent="0.15">
      <c r="C17" s="35" t="s">
        <v>273</v>
      </c>
      <c r="D17" s="148">
        <f>ROUNDDOWN(ROUNDDOWN(D15,1)/65,4)</f>
        <v>0</v>
      </c>
    </row>
    <row r="18" spans="2:152" ht="18.75" customHeight="1" x14ac:dyDescent="0.15">
      <c r="C18" s="35" t="s">
        <v>274</v>
      </c>
      <c r="D18" s="147">
        <f>IFERROR(VLOOKUP(家賃シミュレーションシート!$D$72,家賃・近傍同種計算!$C$5:$D$12,2,FALSE),0)</f>
        <v>0</v>
      </c>
      <c r="E18" s="36" t="s">
        <v>275</v>
      </c>
    </row>
    <row r="19" spans="2:152" ht="18.75" customHeight="1" x14ac:dyDescent="0.15">
      <c r="C19" s="35" t="s">
        <v>276</v>
      </c>
      <c r="D19" s="149" t="str">
        <f>IF(B14="","-",IF(B14&gt;=4,$D$44,$D$43))</f>
        <v>-</v>
      </c>
      <c r="F19" s="37" t="s">
        <v>277</v>
      </c>
      <c r="G19" s="38" t="e">
        <f>1-$D$19*G$24</f>
        <v>#VALUE!</v>
      </c>
      <c r="H19" s="38" t="e">
        <f t="shared" ref="H19:AZ19" si="0">1-$D$19*H$24</f>
        <v>#VALUE!</v>
      </c>
      <c r="I19" s="38" t="e">
        <f t="shared" si="0"/>
        <v>#VALUE!</v>
      </c>
      <c r="J19" s="38" t="e">
        <f t="shared" si="0"/>
        <v>#VALUE!</v>
      </c>
      <c r="K19" s="38" t="e">
        <f t="shared" si="0"/>
        <v>#VALUE!</v>
      </c>
      <c r="L19" s="38" t="e">
        <f t="shared" si="0"/>
        <v>#VALUE!</v>
      </c>
      <c r="M19" s="38" t="e">
        <f t="shared" si="0"/>
        <v>#VALUE!</v>
      </c>
      <c r="N19" s="38" t="e">
        <f t="shared" si="0"/>
        <v>#VALUE!</v>
      </c>
      <c r="O19" s="38" t="e">
        <f t="shared" si="0"/>
        <v>#VALUE!</v>
      </c>
      <c r="P19" s="38" t="e">
        <f t="shared" si="0"/>
        <v>#VALUE!</v>
      </c>
      <c r="Q19" s="38" t="e">
        <f t="shared" si="0"/>
        <v>#VALUE!</v>
      </c>
      <c r="R19" s="38" t="e">
        <f t="shared" si="0"/>
        <v>#VALUE!</v>
      </c>
      <c r="S19" s="38" t="e">
        <f t="shared" si="0"/>
        <v>#VALUE!</v>
      </c>
      <c r="T19" s="38" t="e">
        <f t="shared" si="0"/>
        <v>#VALUE!</v>
      </c>
      <c r="U19" s="38" t="e">
        <f t="shared" si="0"/>
        <v>#VALUE!</v>
      </c>
      <c r="V19" s="38" t="e">
        <f t="shared" si="0"/>
        <v>#VALUE!</v>
      </c>
      <c r="W19" s="38" t="e">
        <f t="shared" si="0"/>
        <v>#VALUE!</v>
      </c>
      <c r="X19" s="38" t="e">
        <f t="shared" si="0"/>
        <v>#VALUE!</v>
      </c>
      <c r="Y19" s="38" t="e">
        <f t="shared" si="0"/>
        <v>#VALUE!</v>
      </c>
      <c r="Z19" s="38" t="e">
        <f t="shared" si="0"/>
        <v>#VALUE!</v>
      </c>
      <c r="AA19" s="38" t="e">
        <f t="shared" si="0"/>
        <v>#VALUE!</v>
      </c>
      <c r="AB19" s="38" t="e">
        <f t="shared" si="0"/>
        <v>#VALUE!</v>
      </c>
      <c r="AC19" s="38" t="e">
        <f t="shared" si="0"/>
        <v>#VALUE!</v>
      </c>
      <c r="AD19" s="38" t="e">
        <f t="shared" si="0"/>
        <v>#VALUE!</v>
      </c>
      <c r="AE19" s="38" t="e">
        <f t="shared" si="0"/>
        <v>#VALUE!</v>
      </c>
      <c r="AF19" s="38" t="e">
        <f t="shared" si="0"/>
        <v>#VALUE!</v>
      </c>
      <c r="AG19" s="38" t="e">
        <f t="shared" si="0"/>
        <v>#VALUE!</v>
      </c>
      <c r="AH19" s="38" t="e">
        <f t="shared" si="0"/>
        <v>#VALUE!</v>
      </c>
      <c r="AI19" s="38" t="e">
        <f t="shared" si="0"/>
        <v>#VALUE!</v>
      </c>
      <c r="AJ19" s="38" t="e">
        <f t="shared" si="0"/>
        <v>#VALUE!</v>
      </c>
      <c r="AK19" s="38" t="e">
        <f t="shared" si="0"/>
        <v>#VALUE!</v>
      </c>
      <c r="AL19" s="38" t="e">
        <f t="shared" si="0"/>
        <v>#VALUE!</v>
      </c>
      <c r="AM19" s="38" t="e">
        <f t="shared" si="0"/>
        <v>#VALUE!</v>
      </c>
      <c r="AN19" s="38" t="e">
        <f t="shared" si="0"/>
        <v>#VALUE!</v>
      </c>
      <c r="AO19" s="38" t="e">
        <f t="shared" si="0"/>
        <v>#VALUE!</v>
      </c>
      <c r="AP19" s="38" t="e">
        <f t="shared" si="0"/>
        <v>#VALUE!</v>
      </c>
      <c r="AQ19" s="38" t="e">
        <f t="shared" si="0"/>
        <v>#VALUE!</v>
      </c>
      <c r="AR19" s="38" t="e">
        <f t="shared" si="0"/>
        <v>#VALUE!</v>
      </c>
      <c r="AS19" s="38" t="e">
        <f t="shared" si="0"/>
        <v>#VALUE!</v>
      </c>
      <c r="AT19" s="38" t="e">
        <f t="shared" si="0"/>
        <v>#VALUE!</v>
      </c>
      <c r="AU19" s="38" t="e">
        <f t="shared" si="0"/>
        <v>#VALUE!</v>
      </c>
      <c r="AV19" s="38" t="e">
        <f t="shared" si="0"/>
        <v>#VALUE!</v>
      </c>
      <c r="AW19" s="38" t="e">
        <f t="shared" si="0"/>
        <v>#VALUE!</v>
      </c>
      <c r="AX19" s="38" t="e">
        <f t="shared" si="0"/>
        <v>#VALUE!</v>
      </c>
      <c r="AY19" s="38" t="e">
        <f t="shared" si="0"/>
        <v>#VALUE!</v>
      </c>
      <c r="AZ19" s="38" t="e">
        <f t="shared" si="0"/>
        <v>#VALUE!</v>
      </c>
    </row>
    <row r="20" spans="2:152" ht="18.75" customHeight="1" x14ac:dyDescent="0.15"/>
    <row r="21" spans="2:152" ht="18.75" customHeight="1" x14ac:dyDescent="0.15">
      <c r="F21" s="27" t="s">
        <v>460</v>
      </c>
      <c r="G21" s="39" t="s">
        <v>462</v>
      </c>
      <c r="H21" s="39" t="s">
        <v>463</v>
      </c>
      <c r="I21" s="39" t="s">
        <v>464</v>
      </c>
      <c r="J21" s="39" t="s">
        <v>461</v>
      </c>
      <c r="K21" s="39" t="s">
        <v>226</v>
      </c>
      <c r="L21" s="39" t="s">
        <v>227</v>
      </c>
      <c r="M21" s="39" t="s">
        <v>228</v>
      </c>
      <c r="N21" s="39" t="s">
        <v>229</v>
      </c>
      <c r="O21" s="39" t="s">
        <v>230</v>
      </c>
      <c r="P21" s="39" t="s">
        <v>231</v>
      </c>
      <c r="Q21" s="39" t="s">
        <v>232</v>
      </c>
      <c r="R21" s="39" t="s">
        <v>233</v>
      </c>
      <c r="S21" s="39" t="s">
        <v>234</v>
      </c>
      <c r="T21" s="39" t="s">
        <v>235</v>
      </c>
      <c r="U21" s="39" t="s">
        <v>236</v>
      </c>
      <c r="V21" s="39" t="s">
        <v>237</v>
      </c>
      <c r="W21" s="39" t="s">
        <v>238</v>
      </c>
      <c r="X21" s="39" t="s">
        <v>239</v>
      </c>
      <c r="Y21" s="39" t="s">
        <v>240</v>
      </c>
      <c r="Z21" s="39" t="s">
        <v>241</v>
      </c>
      <c r="AA21" s="39" t="s">
        <v>242</v>
      </c>
      <c r="BH21" s="40" t="s">
        <v>222</v>
      </c>
      <c r="DC21" s="40" t="s">
        <v>223</v>
      </c>
    </row>
    <row r="22" spans="2:152" ht="18.75" customHeight="1" x14ac:dyDescent="0.15">
      <c r="B22" s="30" t="s">
        <v>339</v>
      </c>
      <c r="D22" s="31"/>
      <c r="E22" s="31"/>
      <c r="F22" s="31" t="s">
        <v>459</v>
      </c>
      <c r="G22" s="31" t="s">
        <v>225</v>
      </c>
      <c r="H22" s="31" t="s">
        <v>226</v>
      </c>
      <c r="I22" s="31" t="s">
        <v>227</v>
      </c>
      <c r="J22" s="31" t="s">
        <v>228</v>
      </c>
      <c r="K22" s="31" t="s">
        <v>229</v>
      </c>
      <c r="L22" s="31" t="s">
        <v>230</v>
      </c>
      <c r="M22" s="31" t="s">
        <v>231</v>
      </c>
      <c r="N22" s="31" t="s">
        <v>232</v>
      </c>
      <c r="O22" s="31" t="s">
        <v>233</v>
      </c>
      <c r="P22" s="31" t="s">
        <v>234</v>
      </c>
      <c r="Q22" s="31" t="s">
        <v>235</v>
      </c>
      <c r="R22" s="31" t="s">
        <v>236</v>
      </c>
      <c r="S22" s="31" t="s">
        <v>237</v>
      </c>
      <c r="T22" s="31" t="s">
        <v>238</v>
      </c>
      <c r="U22" s="31" t="s">
        <v>239</v>
      </c>
      <c r="V22" s="31" t="s">
        <v>240</v>
      </c>
      <c r="W22" s="31" t="s">
        <v>241</v>
      </c>
      <c r="X22" s="31" t="s">
        <v>242</v>
      </c>
      <c r="Y22" s="31" t="s">
        <v>243</v>
      </c>
      <c r="Z22" s="31" t="s">
        <v>244</v>
      </c>
      <c r="AA22" s="31" t="s">
        <v>245</v>
      </c>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0"/>
      <c r="BI22" s="31"/>
      <c r="BJ22" s="30"/>
      <c r="BK22" s="31"/>
      <c r="BL22" s="30"/>
      <c r="BM22" s="31"/>
      <c r="BN22" s="31"/>
      <c r="BO22" s="31"/>
      <c r="BP22" s="31"/>
      <c r="BQ22" s="30"/>
      <c r="BR22" s="31"/>
      <c r="BS22" s="31"/>
      <c r="BT22" s="31"/>
      <c r="BU22" s="31"/>
      <c r="BV22" s="30"/>
      <c r="BW22" s="31"/>
      <c r="BX22" s="31"/>
      <c r="BY22" s="31"/>
      <c r="BZ22" s="31"/>
      <c r="CA22" s="30"/>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0"/>
      <c r="DD22" s="31"/>
      <c r="DE22" s="30"/>
      <c r="DF22" s="31"/>
      <c r="DG22" s="30"/>
      <c r="DH22" s="31"/>
      <c r="DI22" s="31"/>
      <c r="DJ22" s="31"/>
      <c r="DK22" s="31"/>
      <c r="DL22" s="30"/>
      <c r="DM22" s="31"/>
      <c r="DN22" s="31"/>
      <c r="DO22" s="31"/>
      <c r="DP22" s="31"/>
      <c r="DQ22" s="30"/>
      <c r="DR22" s="31"/>
      <c r="DS22" s="31"/>
      <c r="DT22" s="31"/>
      <c r="DU22" s="31"/>
      <c r="DV22" s="30"/>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row>
    <row r="23" spans="2:152" ht="18.75" customHeight="1" x14ac:dyDescent="0.15">
      <c r="B23" s="378" t="s">
        <v>108</v>
      </c>
      <c r="C23" s="391" t="s">
        <v>119</v>
      </c>
      <c r="D23" s="393" t="s">
        <v>246</v>
      </c>
      <c r="E23" s="394"/>
      <c r="F23" s="41" t="s">
        <v>247</v>
      </c>
      <c r="G23" s="42" t="s">
        <v>248</v>
      </c>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4"/>
      <c r="BA23" s="34"/>
      <c r="BB23" s="34"/>
      <c r="BC23" s="34"/>
      <c r="BD23" s="34"/>
      <c r="BE23" s="34"/>
      <c r="BF23" s="34"/>
      <c r="BG23" s="34"/>
      <c r="BH23" s="45" t="s">
        <v>248</v>
      </c>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7"/>
      <c r="DB23" s="34"/>
      <c r="DC23" s="45" t="s">
        <v>248</v>
      </c>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7"/>
    </row>
    <row r="24" spans="2:152" ht="18.75" customHeight="1" x14ac:dyDescent="0.15">
      <c r="B24" s="378"/>
      <c r="C24" s="392"/>
      <c r="D24" s="395"/>
      <c r="E24" s="392"/>
      <c r="F24" s="48" t="s">
        <v>249</v>
      </c>
      <c r="G24" s="49">
        <v>0</v>
      </c>
      <c r="H24" s="49">
        <f t="shared" ref="H24:AZ24" si="1">G24+1</f>
        <v>1</v>
      </c>
      <c r="I24" s="49">
        <f t="shared" si="1"/>
        <v>2</v>
      </c>
      <c r="J24" s="49">
        <f t="shared" si="1"/>
        <v>3</v>
      </c>
      <c r="K24" s="49">
        <f t="shared" si="1"/>
        <v>4</v>
      </c>
      <c r="L24" s="49">
        <f t="shared" si="1"/>
        <v>5</v>
      </c>
      <c r="M24" s="49">
        <f t="shared" si="1"/>
        <v>6</v>
      </c>
      <c r="N24" s="49">
        <f t="shared" si="1"/>
        <v>7</v>
      </c>
      <c r="O24" s="49">
        <f t="shared" si="1"/>
        <v>8</v>
      </c>
      <c r="P24" s="49">
        <f t="shared" si="1"/>
        <v>9</v>
      </c>
      <c r="Q24" s="49">
        <f t="shared" si="1"/>
        <v>10</v>
      </c>
      <c r="R24" s="49">
        <f t="shared" si="1"/>
        <v>11</v>
      </c>
      <c r="S24" s="49">
        <f t="shared" si="1"/>
        <v>12</v>
      </c>
      <c r="T24" s="49">
        <f t="shared" si="1"/>
        <v>13</v>
      </c>
      <c r="U24" s="49">
        <f t="shared" si="1"/>
        <v>14</v>
      </c>
      <c r="V24" s="49">
        <f t="shared" si="1"/>
        <v>15</v>
      </c>
      <c r="W24" s="49">
        <f t="shared" si="1"/>
        <v>16</v>
      </c>
      <c r="X24" s="49">
        <f t="shared" si="1"/>
        <v>17</v>
      </c>
      <c r="Y24" s="49">
        <f t="shared" si="1"/>
        <v>18</v>
      </c>
      <c r="Z24" s="49">
        <f t="shared" si="1"/>
        <v>19</v>
      </c>
      <c r="AA24" s="49">
        <f t="shared" si="1"/>
        <v>20</v>
      </c>
      <c r="AB24" s="49">
        <f t="shared" si="1"/>
        <v>21</v>
      </c>
      <c r="AC24" s="49">
        <f t="shared" si="1"/>
        <v>22</v>
      </c>
      <c r="AD24" s="49">
        <f t="shared" si="1"/>
        <v>23</v>
      </c>
      <c r="AE24" s="49">
        <f t="shared" si="1"/>
        <v>24</v>
      </c>
      <c r="AF24" s="49">
        <f t="shared" si="1"/>
        <v>25</v>
      </c>
      <c r="AG24" s="49">
        <f t="shared" si="1"/>
        <v>26</v>
      </c>
      <c r="AH24" s="49">
        <f t="shared" si="1"/>
        <v>27</v>
      </c>
      <c r="AI24" s="49">
        <f t="shared" si="1"/>
        <v>28</v>
      </c>
      <c r="AJ24" s="49">
        <f t="shared" si="1"/>
        <v>29</v>
      </c>
      <c r="AK24" s="49">
        <f t="shared" si="1"/>
        <v>30</v>
      </c>
      <c r="AL24" s="49">
        <f t="shared" si="1"/>
        <v>31</v>
      </c>
      <c r="AM24" s="49">
        <f t="shared" si="1"/>
        <v>32</v>
      </c>
      <c r="AN24" s="49">
        <f t="shared" si="1"/>
        <v>33</v>
      </c>
      <c r="AO24" s="49">
        <f t="shared" si="1"/>
        <v>34</v>
      </c>
      <c r="AP24" s="49">
        <f t="shared" si="1"/>
        <v>35</v>
      </c>
      <c r="AQ24" s="49">
        <f t="shared" si="1"/>
        <v>36</v>
      </c>
      <c r="AR24" s="49">
        <f t="shared" si="1"/>
        <v>37</v>
      </c>
      <c r="AS24" s="49">
        <f t="shared" si="1"/>
        <v>38</v>
      </c>
      <c r="AT24" s="49">
        <f t="shared" si="1"/>
        <v>39</v>
      </c>
      <c r="AU24" s="49">
        <f t="shared" si="1"/>
        <v>40</v>
      </c>
      <c r="AV24" s="49">
        <f t="shared" si="1"/>
        <v>41</v>
      </c>
      <c r="AW24" s="49">
        <f t="shared" si="1"/>
        <v>42</v>
      </c>
      <c r="AX24" s="49">
        <f t="shared" si="1"/>
        <v>43</v>
      </c>
      <c r="AY24" s="49">
        <f t="shared" si="1"/>
        <v>44</v>
      </c>
      <c r="AZ24" s="49">
        <f t="shared" si="1"/>
        <v>45</v>
      </c>
      <c r="BA24" s="50"/>
      <c r="BB24" s="51"/>
      <c r="BC24" s="51"/>
      <c r="BD24" s="51"/>
      <c r="BE24" s="51"/>
      <c r="BF24" s="51"/>
      <c r="BG24" s="50"/>
      <c r="BH24" s="49">
        <v>0</v>
      </c>
      <c r="BI24" s="49">
        <f t="shared" ref="BI24:CL24" si="2">BH24+1</f>
        <v>1</v>
      </c>
      <c r="BJ24" s="49">
        <f t="shared" si="2"/>
        <v>2</v>
      </c>
      <c r="BK24" s="49">
        <f t="shared" si="2"/>
        <v>3</v>
      </c>
      <c r="BL24" s="49">
        <f t="shared" si="2"/>
        <v>4</v>
      </c>
      <c r="BM24" s="49">
        <f t="shared" si="2"/>
        <v>5</v>
      </c>
      <c r="BN24" s="49">
        <f t="shared" si="2"/>
        <v>6</v>
      </c>
      <c r="BO24" s="49">
        <f t="shared" si="2"/>
        <v>7</v>
      </c>
      <c r="BP24" s="49">
        <f t="shared" si="2"/>
        <v>8</v>
      </c>
      <c r="BQ24" s="49">
        <f t="shared" si="2"/>
        <v>9</v>
      </c>
      <c r="BR24" s="49">
        <f t="shared" si="2"/>
        <v>10</v>
      </c>
      <c r="BS24" s="49">
        <f t="shared" si="2"/>
        <v>11</v>
      </c>
      <c r="BT24" s="49">
        <f t="shared" si="2"/>
        <v>12</v>
      </c>
      <c r="BU24" s="49">
        <f t="shared" si="2"/>
        <v>13</v>
      </c>
      <c r="BV24" s="49">
        <f t="shared" si="2"/>
        <v>14</v>
      </c>
      <c r="BW24" s="49">
        <f t="shared" si="2"/>
        <v>15</v>
      </c>
      <c r="BX24" s="49">
        <f t="shared" si="2"/>
        <v>16</v>
      </c>
      <c r="BY24" s="49">
        <f t="shared" si="2"/>
        <v>17</v>
      </c>
      <c r="BZ24" s="49">
        <f t="shared" si="2"/>
        <v>18</v>
      </c>
      <c r="CA24" s="49">
        <f t="shared" si="2"/>
        <v>19</v>
      </c>
      <c r="CB24" s="49">
        <f t="shared" si="2"/>
        <v>20</v>
      </c>
      <c r="CC24" s="49">
        <f t="shared" si="2"/>
        <v>21</v>
      </c>
      <c r="CD24" s="49">
        <f t="shared" si="2"/>
        <v>22</v>
      </c>
      <c r="CE24" s="49">
        <f t="shared" si="2"/>
        <v>23</v>
      </c>
      <c r="CF24" s="49">
        <f t="shared" si="2"/>
        <v>24</v>
      </c>
      <c r="CG24" s="49">
        <f t="shared" si="2"/>
        <v>25</v>
      </c>
      <c r="CH24" s="49">
        <f t="shared" si="2"/>
        <v>26</v>
      </c>
      <c r="CI24" s="49">
        <f t="shared" si="2"/>
        <v>27</v>
      </c>
      <c r="CJ24" s="49">
        <f t="shared" si="2"/>
        <v>28</v>
      </c>
      <c r="CK24" s="49">
        <f t="shared" si="2"/>
        <v>29</v>
      </c>
      <c r="CL24" s="49">
        <f t="shared" si="2"/>
        <v>30</v>
      </c>
      <c r="CM24" s="49">
        <f>CL24+1</f>
        <v>31</v>
      </c>
      <c r="CN24" s="49">
        <f t="shared" ref="CN24:DA24" si="3">CM24+1</f>
        <v>32</v>
      </c>
      <c r="CO24" s="49">
        <f t="shared" si="3"/>
        <v>33</v>
      </c>
      <c r="CP24" s="49">
        <f t="shared" si="3"/>
        <v>34</v>
      </c>
      <c r="CQ24" s="49">
        <f t="shared" si="3"/>
        <v>35</v>
      </c>
      <c r="CR24" s="49">
        <f t="shared" si="3"/>
        <v>36</v>
      </c>
      <c r="CS24" s="49">
        <f t="shared" si="3"/>
        <v>37</v>
      </c>
      <c r="CT24" s="49">
        <f t="shared" si="3"/>
        <v>38</v>
      </c>
      <c r="CU24" s="49">
        <f t="shared" si="3"/>
        <v>39</v>
      </c>
      <c r="CV24" s="49">
        <f t="shared" si="3"/>
        <v>40</v>
      </c>
      <c r="CW24" s="49">
        <f t="shared" si="3"/>
        <v>41</v>
      </c>
      <c r="CX24" s="49">
        <f t="shared" si="3"/>
        <v>42</v>
      </c>
      <c r="CY24" s="49">
        <f t="shared" si="3"/>
        <v>43</v>
      </c>
      <c r="CZ24" s="49">
        <f t="shared" si="3"/>
        <v>44</v>
      </c>
      <c r="DA24" s="49">
        <f t="shared" si="3"/>
        <v>45</v>
      </c>
      <c r="DB24" s="50"/>
      <c r="DC24" s="49">
        <v>0</v>
      </c>
      <c r="DD24" s="49">
        <f t="shared" ref="DD24:EF24" si="4">DC24+1</f>
        <v>1</v>
      </c>
      <c r="DE24" s="49">
        <f t="shared" si="4"/>
        <v>2</v>
      </c>
      <c r="DF24" s="49">
        <f t="shared" si="4"/>
        <v>3</v>
      </c>
      <c r="DG24" s="49">
        <f t="shared" si="4"/>
        <v>4</v>
      </c>
      <c r="DH24" s="49">
        <f t="shared" si="4"/>
        <v>5</v>
      </c>
      <c r="DI24" s="49">
        <f t="shared" si="4"/>
        <v>6</v>
      </c>
      <c r="DJ24" s="49">
        <f t="shared" si="4"/>
        <v>7</v>
      </c>
      <c r="DK24" s="49">
        <f t="shared" si="4"/>
        <v>8</v>
      </c>
      <c r="DL24" s="49">
        <f t="shared" si="4"/>
        <v>9</v>
      </c>
      <c r="DM24" s="49">
        <f t="shared" si="4"/>
        <v>10</v>
      </c>
      <c r="DN24" s="49">
        <f t="shared" si="4"/>
        <v>11</v>
      </c>
      <c r="DO24" s="49">
        <f t="shared" si="4"/>
        <v>12</v>
      </c>
      <c r="DP24" s="49">
        <f t="shared" si="4"/>
        <v>13</v>
      </c>
      <c r="DQ24" s="49">
        <f t="shared" si="4"/>
        <v>14</v>
      </c>
      <c r="DR24" s="49">
        <f t="shared" si="4"/>
        <v>15</v>
      </c>
      <c r="DS24" s="49">
        <f t="shared" si="4"/>
        <v>16</v>
      </c>
      <c r="DT24" s="49">
        <f t="shared" si="4"/>
        <v>17</v>
      </c>
      <c r="DU24" s="49">
        <f t="shared" si="4"/>
        <v>18</v>
      </c>
      <c r="DV24" s="49">
        <f t="shared" si="4"/>
        <v>19</v>
      </c>
      <c r="DW24" s="49">
        <f t="shared" si="4"/>
        <v>20</v>
      </c>
      <c r="DX24" s="49">
        <f t="shared" si="4"/>
        <v>21</v>
      </c>
      <c r="DY24" s="49">
        <f t="shared" si="4"/>
        <v>22</v>
      </c>
      <c r="DZ24" s="49">
        <f t="shared" si="4"/>
        <v>23</v>
      </c>
      <c r="EA24" s="49">
        <f t="shared" si="4"/>
        <v>24</v>
      </c>
      <c r="EB24" s="49">
        <f t="shared" si="4"/>
        <v>25</v>
      </c>
      <c r="EC24" s="49">
        <f t="shared" si="4"/>
        <v>26</v>
      </c>
      <c r="ED24" s="49">
        <f t="shared" si="4"/>
        <v>27</v>
      </c>
      <c r="EE24" s="49">
        <f t="shared" si="4"/>
        <v>28</v>
      </c>
      <c r="EF24" s="49">
        <f t="shared" si="4"/>
        <v>29</v>
      </c>
      <c r="EG24" s="49">
        <f>EF24+1</f>
        <v>30</v>
      </c>
      <c r="EH24" s="49">
        <f t="shared" ref="EH24:EV24" si="5">EG24+1</f>
        <v>31</v>
      </c>
      <c r="EI24" s="49">
        <f t="shared" si="5"/>
        <v>32</v>
      </c>
      <c r="EJ24" s="49">
        <f t="shared" si="5"/>
        <v>33</v>
      </c>
      <c r="EK24" s="49">
        <f t="shared" si="5"/>
        <v>34</v>
      </c>
      <c r="EL24" s="49">
        <f t="shared" si="5"/>
        <v>35</v>
      </c>
      <c r="EM24" s="49">
        <f t="shared" si="5"/>
        <v>36</v>
      </c>
      <c r="EN24" s="49">
        <f t="shared" si="5"/>
        <v>37</v>
      </c>
      <c r="EO24" s="49">
        <f t="shared" si="5"/>
        <v>38</v>
      </c>
      <c r="EP24" s="49">
        <f t="shared" si="5"/>
        <v>39</v>
      </c>
      <c r="EQ24" s="49">
        <f t="shared" si="5"/>
        <v>40</v>
      </c>
      <c r="ER24" s="49">
        <f t="shared" si="5"/>
        <v>41</v>
      </c>
      <c r="ES24" s="49">
        <f t="shared" si="5"/>
        <v>42</v>
      </c>
      <c r="ET24" s="49">
        <f t="shared" si="5"/>
        <v>43</v>
      </c>
      <c r="EU24" s="49">
        <f t="shared" si="5"/>
        <v>44</v>
      </c>
      <c r="EV24" s="49">
        <f t="shared" si="5"/>
        <v>45</v>
      </c>
    </row>
    <row r="25" spans="2:152" ht="18.75" customHeight="1" x14ac:dyDescent="0.15">
      <c r="B25" s="52" t="str">
        <f ca="1">家賃シミュレーションシート!$AH65</f>
        <v>●</v>
      </c>
      <c r="C25" s="53" t="s">
        <v>250</v>
      </c>
      <c r="D25" s="396" t="s">
        <v>251</v>
      </c>
      <c r="E25" s="397"/>
      <c r="F25" s="54">
        <v>34400</v>
      </c>
      <c r="G25" s="55" t="e">
        <f t="shared" ref="G25:P32" si="6">ROUNDDOWN($F25*$D$16*$D$17*G$19*$D$18,-2)</f>
        <v>#VALUE!</v>
      </c>
      <c r="H25" s="55" t="e">
        <f t="shared" si="6"/>
        <v>#VALUE!</v>
      </c>
      <c r="I25" s="55" t="e">
        <f t="shared" si="6"/>
        <v>#VALUE!</v>
      </c>
      <c r="J25" s="55" t="e">
        <f t="shared" si="6"/>
        <v>#VALUE!</v>
      </c>
      <c r="K25" s="55" t="e">
        <f t="shared" si="6"/>
        <v>#VALUE!</v>
      </c>
      <c r="L25" s="55" t="e">
        <f t="shared" si="6"/>
        <v>#VALUE!</v>
      </c>
      <c r="M25" s="55" t="e">
        <f t="shared" si="6"/>
        <v>#VALUE!</v>
      </c>
      <c r="N25" s="55" t="e">
        <f t="shared" si="6"/>
        <v>#VALUE!</v>
      </c>
      <c r="O25" s="55" t="e">
        <f t="shared" si="6"/>
        <v>#VALUE!</v>
      </c>
      <c r="P25" s="55" t="e">
        <f t="shared" si="6"/>
        <v>#VALUE!</v>
      </c>
      <c r="Q25" s="56" t="e">
        <f t="shared" ref="Q25:Z32" si="7">ROUNDDOWN($F25*$D$16*$D$17*Q$19*$D$18,-2)</f>
        <v>#VALUE!</v>
      </c>
      <c r="R25" s="55" t="e">
        <f t="shared" si="7"/>
        <v>#VALUE!</v>
      </c>
      <c r="S25" s="55" t="e">
        <f t="shared" si="7"/>
        <v>#VALUE!</v>
      </c>
      <c r="T25" s="55" t="e">
        <f t="shared" si="7"/>
        <v>#VALUE!</v>
      </c>
      <c r="U25" s="55" t="e">
        <f t="shared" si="7"/>
        <v>#VALUE!</v>
      </c>
      <c r="V25" s="55" t="e">
        <f t="shared" si="7"/>
        <v>#VALUE!</v>
      </c>
      <c r="W25" s="55" t="e">
        <f t="shared" si="7"/>
        <v>#VALUE!</v>
      </c>
      <c r="X25" s="55" t="e">
        <f t="shared" si="7"/>
        <v>#VALUE!</v>
      </c>
      <c r="Y25" s="55" t="e">
        <f t="shared" si="7"/>
        <v>#VALUE!</v>
      </c>
      <c r="Z25" s="55" t="e">
        <f t="shared" si="7"/>
        <v>#VALUE!</v>
      </c>
      <c r="AA25" s="56" t="e">
        <f t="shared" ref="AA25:AJ32" si="8">ROUNDDOWN($F25*$D$16*$D$17*AA$19*$D$18,-2)</f>
        <v>#VALUE!</v>
      </c>
      <c r="AB25" s="55" t="e">
        <f t="shared" si="8"/>
        <v>#VALUE!</v>
      </c>
      <c r="AC25" s="55" t="e">
        <f t="shared" si="8"/>
        <v>#VALUE!</v>
      </c>
      <c r="AD25" s="55" t="e">
        <f t="shared" si="8"/>
        <v>#VALUE!</v>
      </c>
      <c r="AE25" s="55" t="e">
        <f t="shared" si="8"/>
        <v>#VALUE!</v>
      </c>
      <c r="AF25" s="55" t="e">
        <f t="shared" si="8"/>
        <v>#VALUE!</v>
      </c>
      <c r="AG25" s="55" t="e">
        <f t="shared" si="8"/>
        <v>#VALUE!</v>
      </c>
      <c r="AH25" s="55" t="e">
        <f t="shared" si="8"/>
        <v>#VALUE!</v>
      </c>
      <c r="AI25" s="55" t="e">
        <f t="shared" si="8"/>
        <v>#VALUE!</v>
      </c>
      <c r="AJ25" s="55" t="e">
        <f t="shared" si="8"/>
        <v>#VALUE!</v>
      </c>
      <c r="AK25" s="56" t="e">
        <f t="shared" ref="AK25:AT32" si="9">ROUNDDOWN($F25*$D$16*$D$17*AK$19*$D$18,-2)</f>
        <v>#VALUE!</v>
      </c>
      <c r="AL25" s="56" t="e">
        <f t="shared" si="9"/>
        <v>#VALUE!</v>
      </c>
      <c r="AM25" s="56" t="e">
        <f t="shared" si="9"/>
        <v>#VALUE!</v>
      </c>
      <c r="AN25" s="56" t="e">
        <f t="shared" si="9"/>
        <v>#VALUE!</v>
      </c>
      <c r="AO25" s="56" t="e">
        <f t="shared" si="9"/>
        <v>#VALUE!</v>
      </c>
      <c r="AP25" s="56" t="e">
        <f t="shared" si="9"/>
        <v>#VALUE!</v>
      </c>
      <c r="AQ25" s="56" t="e">
        <f t="shared" si="9"/>
        <v>#VALUE!</v>
      </c>
      <c r="AR25" s="56" t="e">
        <f t="shared" si="9"/>
        <v>#VALUE!</v>
      </c>
      <c r="AS25" s="56" t="e">
        <f t="shared" si="9"/>
        <v>#VALUE!</v>
      </c>
      <c r="AT25" s="56" t="e">
        <f t="shared" si="9"/>
        <v>#VALUE!</v>
      </c>
      <c r="AU25" s="56" t="e">
        <f t="shared" ref="AU25:AZ32" si="10">ROUNDDOWN($F25*$D$16*$D$17*AU$19*$D$18,-2)</f>
        <v>#VALUE!</v>
      </c>
      <c r="AV25" s="56" t="e">
        <f t="shared" si="10"/>
        <v>#VALUE!</v>
      </c>
      <c r="AW25" s="56" t="e">
        <f t="shared" si="10"/>
        <v>#VALUE!</v>
      </c>
      <c r="AX25" s="56" t="e">
        <f t="shared" si="10"/>
        <v>#VALUE!</v>
      </c>
      <c r="AY25" s="56" t="e">
        <f t="shared" si="10"/>
        <v>#VALUE!</v>
      </c>
      <c r="AZ25" s="56" t="e">
        <f t="shared" si="10"/>
        <v>#VALUE!</v>
      </c>
      <c r="BB25" s="57"/>
      <c r="BC25" s="57" t="s">
        <v>252</v>
      </c>
      <c r="BD25" s="57">
        <v>104000</v>
      </c>
      <c r="BE25" s="57" t="s">
        <v>253</v>
      </c>
      <c r="BF25" s="58">
        <v>1</v>
      </c>
      <c r="BH25" s="56" t="e">
        <f t="shared" ref="BH25:BW32" si="11">G25*12</f>
        <v>#VALUE!</v>
      </c>
      <c r="BI25" s="55" t="e">
        <f t="shared" si="11"/>
        <v>#VALUE!</v>
      </c>
      <c r="BJ25" s="55" t="e">
        <f t="shared" si="11"/>
        <v>#VALUE!</v>
      </c>
      <c r="BK25" s="55" t="e">
        <f t="shared" si="11"/>
        <v>#VALUE!</v>
      </c>
      <c r="BL25" s="55" t="e">
        <f t="shared" si="11"/>
        <v>#VALUE!</v>
      </c>
      <c r="BM25" s="55" t="e">
        <f t="shared" si="11"/>
        <v>#VALUE!</v>
      </c>
      <c r="BN25" s="55" t="e">
        <f t="shared" si="11"/>
        <v>#VALUE!</v>
      </c>
      <c r="BO25" s="55" t="e">
        <f t="shared" si="11"/>
        <v>#VALUE!</v>
      </c>
      <c r="BP25" s="55" t="e">
        <f t="shared" si="11"/>
        <v>#VALUE!</v>
      </c>
      <c r="BQ25" s="55" t="e">
        <f t="shared" si="11"/>
        <v>#VALUE!</v>
      </c>
      <c r="BR25" s="56" t="e">
        <f t="shared" si="11"/>
        <v>#VALUE!</v>
      </c>
      <c r="BS25" s="55" t="e">
        <f t="shared" si="11"/>
        <v>#VALUE!</v>
      </c>
      <c r="BT25" s="55" t="e">
        <f t="shared" si="11"/>
        <v>#VALUE!</v>
      </c>
      <c r="BU25" s="55" t="e">
        <f t="shared" si="11"/>
        <v>#VALUE!</v>
      </c>
      <c r="BV25" s="55" t="e">
        <f t="shared" si="11"/>
        <v>#VALUE!</v>
      </c>
      <c r="BW25" s="55" t="e">
        <f t="shared" si="11"/>
        <v>#VALUE!</v>
      </c>
      <c r="BX25" s="55" t="e">
        <f t="shared" ref="BX25:CM32" si="12">W25*12</f>
        <v>#VALUE!</v>
      </c>
      <c r="BY25" s="55" t="e">
        <f t="shared" si="12"/>
        <v>#VALUE!</v>
      </c>
      <c r="BZ25" s="55" t="e">
        <f t="shared" si="12"/>
        <v>#VALUE!</v>
      </c>
      <c r="CA25" s="55" t="e">
        <f t="shared" si="12"/>
        <v>#VALUE!</v>
      </c>
      <c r="CB25" s="56" t="e">
        <f t="shared" si="12"/>
        <v>#VALUE!</v>
      </c>
      <c r="CC25" s="55" t="e">
        <f t="shared" si="12"/>
        <v>#VALUE!</v>
      </c>
      <c r="CD25" s="55" t="e">
        <f t="shared" si="12"/>
        <v>#VALUE!</v>
      </c>
      <c r="CE25" s="55" t="e">
        <f t="shared" si="12"/>
        <v>#VALUE!</v>
      </c>
      <c r="CF25" s="55" t="e">
        <f t="shared" si="12"/>
        <v>#VALUE!</v>
      </c>
      <c r="CG25" s="55" t="e">
        <f t="shared" si="12"/>
        <v>#VALUE!</v>
      </c>
      <c r="CH25" s="55" t="e">
        <f t="shared" si="12"/>
        <v>#VALUE!</v>
      </c>
      <c r="CI25" s="55" t="e">
        <f t="shared" si="12"/>
        <v>#VALUE!</v>
      </c>
      <c r="CJ25" s="55" t="e">
        <f t="shared" si="12"/>
        <v>#VALUE!</v>
      </c>
      <c r="CK25" s="55" t="e">
        <f t="shared" si="12"/>
        <v>#VALUE!</v>
      </c>
      <c r="CL25" s="56" t="e">
        <f t="shared" si="12"/>
        <v>#VALUE!</v>
      </c>
      <c r="CM25" s="56" t="e">
        <f t="shared" si="12"/>
        <v>#VALUE!</v>
      </c>
      <c r="CN25" s="56" t="e">
        <f t="shared" ref="CN25:DA32" si="13">AM25*12</f>
        <v>#VALUE!</v>
      </c>
      <c r="CO25" s="56" t="e">
        <f t="shared" si="13"/>
        <v>#VALUE!</v>
      </c>
      <c r="CP25" s="56" t="e">
        <f t="shared" si="13"/>
        <v>#VALUE!</v>
      </c>
      <c r="CQ25" s="56" t="e">
        <f t="shared" si="13"/>
        <v>#VALUE!</v>
      </c>
      <c r="CR25" s="56" t="e">
        <f t="shared" si="13"/>
        <v>#VALUE!</v>
      </c>
      <c r="CS25" s="56" t="e">
        <f t="shared" si="13"/>
        <v>#VALUE!</v>
      </c>
      <c r="CT25" s="56" t="e">
        <f t="shared" si="13"/>
        <v>#VALUE!</v>
      </c>
      <c r="CU25" s="56" t="e">
        <f t="shared" si="13"/>
        <v>#VALUE!</v>
      </c>
      <c r="CV25" s="56" t="e">
        <f t="shared" si="13"/>
        <v>#VALUE!</v>
      </c>
      <c r="CW25" s="56" t="e">
        <f t="shared" si="13"/>
        <v>#VALUE!</v>
      </c>
      <c r="CX25" s="56" t="e">
        <f t="shared" si="13"/>
        <v>#VALUE!</v>
      </c>
      <c r="CY25" s="56" t="e">
        <f t="shared" si="13"/>
        <v>#VALUE!</v>
      </c>
      <c r="CZ25" s="56" t="e">
        <f t="shared" si="13"/>
        <v>#VALUE!</v>
      </c>
      <c r="DA25" s="56" t="e">
        <f t="shared" si="13"/>
        <v>#VALUE!</v>
      </c>
      <c r="DC25" s="56" t="e">
        <f>SUM($BH25:BH25)</f>
        <v>#VALUE!</v>
      </c>
      <c r="DD25" s="55" t="e">
        <f>SUM($BH25:BI25)</f>
        <v>#VALUE!</v>
      </c>
      <c r="DE25" s="55" t="e">
        <f>SUM($BH25:BJ25)</f>
        <v>#VALUE!</v>
      </c>
      <c r="DF25" s="55" t="e">
        <f>SUM($BH25:BK25)</f>
        <v>#VALUE!</v>
      </c>
      <c r="DG25" s="55" t="e">
        <f>SUM($BH25:BL25)</f>
        <v>#VALUE!</v>
      </c>
      <c r="DH25" s="55" t="e">
        <f>SUM($BH25:BM25)</f>
        <v>#VALUE!</v>
      </c>
      <c r="DI25" s="55" t="e">
        <f>SUM($BH25:BN25)</f>
        <v>#VALUE!</v>
      </c>
      <c r="DJ25" s="55" t="e">
        <f>SUM($BH25:BO25)</f>
        <v>#VALUE!</v>
      </c>
      <c r="DK25" s="55" t="e">
        <f>SUM($BH25:BP25)</f>
        <v>#VALUE!</v>
      </c>
      <c r="DL25" s="55" t="e">
        <f>SUM($BH25:BQ25)</f>
        <v>#VALUE!</v>
      </c>
      <c r="DM25" s="56" t="e">
        <f>SUM($BH25:BR25)</f>
        <v>#VALUE!</v>
      </c>
      <c r="DN25" s="55" t="e">
        <f>SUM($BH25:BS25)</f>
        <v>#VALUE!</v>
      </c>
      <c r="DO25" s="55" t="e">
        <f>SUM($BH25:BT25)</f>
        <v>#VALUE!</v>
      </c>
      <c r="DP25" s="55" t="e">
        <f>SUM($BH25:BU25)</f>
        <v>#VALUE!</v>
      </c>
      <c r="DQ25" s="55" t="e">
        <f>SUM($BH25:BV25)</f>
        <v>#VALUE!</v>
      </c>
      <c r="DR25" s="55" t="e">
        <f>SUM($BH25:BW25)</f>
        <v>#VALUE!</v>
      </c>
      <c r="DS25" s="55" t="e">
        <f>SUM($BH25:BX25)</f>
        <v>#VALUE!</v>
      </c>
      <c r="DT25" s="55" t="e">
        <f>SUM($BH25:BY25)</f>
        <v>#VALUE!</v>
      </c>
      <c r="DU25" s="55" t="e">
        <f>SUM($BH25:BZ25)</f>
        <v>#VALUE!</v>
      </c>
      <c r="DV25" s="55" t="e">
        <f>SUM($BH25:CA25)</f>
        <v>#VALUE!</v>
      </c>
      <c r="DW25" s="56" t="e">
        <f>SUM($BH25:CB25)</f>
        <v>#VALUE!</v>
      </c>
      <c r="DX25" s="55" t="e">
        <f>SUM($BH25:CC25)</f>
        <v>#VALUE!</v>
      </c>
      <c r="DY25" s="55" t="e">
        <f>SUM($BH25:CD25)</f>
        <v>#VALUE!</v>
      </c>
      <c r="DZ25" s="55" t="e">
        <f>SUM($BH25:CE25)</f>
        <v>#VALUE!</v>
      </c>
      <c r="EA25" s="55" t="e">
        <f>SUM($BH25:CF25)</f>
        <v>#VALUE!</v>
      </c>
      <c r="EB25" s="55" t="e">
        <f>SUM($BH25:CG25)</f>
        <v>#VALUE!</v>
      </c>
      <c r="EC25" s="55" t="e">
        <f>SUM($BH25:CH25)</f>
        <v>#VALUE!</v>
      </c>
      <c r="ED25" s="55" t="e">
        <f>SUM($BH25:CI25)</f>
        <v>#VALUE!</v>
      </c>
      <c r="EE25" s="55" t="e">
        <f>SUM($BH25:CJ25)</f>
        <v>#VALUE!</v>
      </c>
      <c r="EF25" s="55" t="e">
        <f>SUM($BH25:CK25)</f>
        <v>#VALUE!</v>
      </c>
      <c r="EG25" s="56" t="e">
        <f>SUM($BH25:CL25)</f>
        <v>#VALUE!</v>
      </c>
      <c r="EH25" s="56" t="e">
        <f>SUM($BH25:CM25)</f>
        <v>#VALUE!</v>
      </c>
      <c r="EI25" s="56" t="e">
        <f>SUM($BH25:CN25)</f>
        <v>#VALUE!</v>
      </c>
      <c r="EJ25" s="56" t="e">
        <f>SUM($BH25:CO25)</f>
        <v>#VALUE!</v>
      </c>
      <c r="EK25" s="56" t="e">
        <f>SUM($BH25:CP25)</f>
        <v>#VALUE!</v>
      </c>
      <c r="EL25" s="56" t="e">
        <f>SUM($BH25:CQ25)</f>
        <v>#VALUE!</v>
      </c>
      <c r="EM25" s="56" t="e">
        <f>SUM($BH25:CR25)</f>
        <v>#VALUE!</v>
      </c>
      <c r="EN25" s="56" t="e">
        <f>SUM($BH25:CS25)</f>
        <v>#VALUE!</v>
      </c>
      <c r="EO25" s="56" t="e">
        <f>SUM($BH25:CT25)</f>
        <v>#VALUE!</v>
      </c>
      <c r="EP25" s="56" t="e">
        <f>SUM($BH25:CU25)</f>
        <v>#VALUE!</v>
      </c>
      <c r="EQ25" s="56" t="e">
        <f>SUM($BH25:CV25)</f>
        <v>#VALUE!</v>
      </c>
      <c r="ER25" s="56" t="e">
        <f>SUM($BH25:CW25)</f>
        <v>#VALUE!</v>
      </c>
      <c r="ES25" s="56" t="e">
        <f>SUM($BH25:CX25)</f>
        <v>#VALUE!</v>
      </c>
      <c r="ET25" s="56" t="e">
        <f>SUM($BH25:CY25)</f>
        <v>#VALUE!</v>
      </c>
      <c r="EU25" s="56" t="e">
        <f>SUM($BH25:CZ25)</f>
        <v>#VALUE!</v>
      </c>
      <c r="EV25" s="56" t="e">
        <f>SUM($BH25:DA25)</f>
        <v>#VALUE!</v>
      </c>
    </row>
    <row r="26" spans="2:152" ht="18.75" customHeight="1" x14ac:dyDescent="0.15">
      <c r="B26" s="59" t="str">
        <f ca="1">家賃シミュレーションシート!$AH66</f>
        <v/>
      </c>
      <c r="C26" s="60" t="s">
        <v>254</v>
      </c>
      <c r="D26" s="382" t="s">
        <v>255</v>
      </c>
      <c r="E26" s="383"/>
      <c r="F26" s="61">
        <v>39700</v>
      </c>
      <c r="G26" s="54" t="e">
        <f t="shared" si="6"/>
        <v>#VALUE!</v>
      </c>
      <c r="H26" s="62" t="e">
        <f t="shared" si="6"/>
        <v>#VALUE!</v>
      </c>
      <c r="I26" s="62" t="e">
        <f t="shared" si="6"/>
        <v>#VALUE!</v>
      </c>
      <c r="J26" s="62" t="e">
        <f t="shared" si="6"/>
        <v>#VALUE!</v>
      </c>
      <c r="K26" s="62" t="e">
        <f t="shared" si="6"/>
        <v>#VALUE!</v>
      </c>
      <c r="L26" s="62" t="e">
        <f t="shared" si="6"/>
        <v>#VALUE!</v>
      </c>
      <c r="M26" s="62" t="e">
        <f t="shared" si="6"/>
        <v>#VALUE!</v>
      </c>
      <c r="N26" s="62" t="e">
        <f t="shared" si="6"/>
        <v>#VALUE!</v>
      </c>
      <c r="O26" s="62" t="e">
        <f t="shared" si="6"/>
        <v>#VALUE!</v>
      </c>
      <c r="P26" s="62" t="e">
        <f t="shared" si="6"/>
        <v>#VALUE!</v>
      </c>
      <c r="Q26" s="54" t="e">
        <f t="shared" si="7"/>
        <v>#VALUE!</v>
      </c>
      <c r="R26" s="62" t="e">
        <f t="shared" si="7"/>
        <v>#VALUE!</v>
      </c>
      <c r="S26" s="62" t="e">
        <f t="shared" si="7"/>
        <v>#VALUE!</v>
      </c>
      <c r="T26" s="62" t="e">
        <f t="shared" si="7"/>
        <v>#VALUE!</v>
      </c>
      <c r="U26" s="62" t="e">
        <f t="shared" si="7"/>
        <v>#VALUE!</v>
      </c>
      <c r="V26" s="62" t="e">
        <f t="shared" si="7"/>
        <v>#VALUE!</v>
      </c>
      <c r="W26" s="62" t="e">
        <f t="shared" si="7"/>
        <v>#VALUE!</v>
      </c>
      <c r="X26" s="62" t="e">
        <f t="shared" si="7"/>
        <v>#VALUE!</v>
      </c>
      <c r="Y26" s="62" t="e">
        <f t="shared" si="7"/>
        <v>#VALUE!</v>
      </c>
      <c r="Z26" s="62" t="e">
        <f t="shared" si="7"/>
        <v>#VALUE!</v>
      </c>
      <c r="AA26" s="54" t="e">
        <f t="shared" si="8"/>
        <v>#VALUE!</v>
      </c>
      <c r="AB26" s="62" t="e">
        <f t="shared" si="8"/>
        <v>#VALUE!</v>
      </c>
      <c r="AC26" s="62" t="e">
        <f t="shared" si="8"/>
        <v>#VALUE!</v>
      </c>
      <c r="AD26" s="62" t="e">
        <f t="shared" si="8"/>
        <v>#VALUE!</v>
      </c>
      <c r="AE26" s="62" t="e">
        <f t="shared" si="8"/>
        <v>#VALUE!</v>
      </c>
      <c r="AF26" s="62" t="e">
        <f t="shared" si="8"/>
        <v>#VALUE!</v>
      </c>
      <c r="AG26" s="62" t="e">
        <f t="shared" si="8"/>
        <v>#VALUE!</v>
      </c>
      <c r="AH26" s="62" t="e">
        <f t="shared" si="8"/>
        <v>#VALUE!</v>
      </c>
      <c r="AI26" s="62" t="e">
        <f t="shared" si="8"/>
        <v>#VALUE!</v>
      </c>
      <c r="AJ26" s="62" t="e">
        <f t="shared" si="8"/>
        <v>#VALUE!</v>
      </c>
      <c r="AK26" s="54" t="e">
        <f t="shared" si="9"/>
        <v>#VALUE!</v>
      </c>
      <c r="AL26" s="54" t="e">
        <f t="shared" si="9"/>
        <v>#VALUE!</v>
      </c>
      <c r="AM26" s="54" t="e">
        <f t="shared" si="9"/>
        <v>#VALUE!</v>
      </c>
      <c r="AN26" s="54" t="e">
        <f t="shared" si="9"/>
        <v>#VALUE!</v>
      </c>
      <c r="AO26" s="54" t="e">
        <f t="shared" si="9"/>
        <v>#VALUE!</v>
      </c>
      <c r="AP26" s="54" t="e">
        <f t="shared" si="9"/>
        <v>#VALUE!</v>
      </c>
      <c r="AQ26" s="54" t="e">
        <f t="shared" si="9"/>
        <v>#VALUE!</v>
      </c>
      <c r="AR26" s="54" t="e">
        <f t="shared" si="9"/>
        <v>#VALUE!</v>
      </c>
      <c r="AS26" s="54" t="e">
        <f t="shared" si="9"/>
        <v>#VALUE!</v>
      </c>
      <c r="AT26" s="54" t="e">
        <f t="shared" si="9"/>
        <v>#VALUE!</v>
      </c>
      <c r="AU26" s="54" t="e">
        <f t="shared" si="10"/>
        <v>#VALUE!</v>
      </c>
      <c r="AV26" s="54" t="e">
        <f t="shared" si="10"/>
        <v>#VALUE!</v>
      </c>
      <c r="AW26" s="54" t="e">
        <f t="shared" si="10"/>
        <v>#VALUE!</v>
      </c>
      <c r="AX26" s="54" t="e">
        <f t="shared" si="10"/>
        <v>#VALUE!</v>
      </c>
      <c r="AY26" s="54" t="e">
        <f t="shared" si="10"/>
        <v>#VALUE!</v>
      </c>
      <c r="AZ26" s="54" t="e">
        <f t="shared" si="10"/>
        <v>#VALUE!</v>
      </c>
      <c r="BB26" s="57">
        <f t="shared" ref="BB26:BB32" si="14">BD25+1</f>
        <v>104001</v>
      </c>
      <c r="BC26" s="57" t="s">
        <v>256</v>
      </c>
      <c r="BD26" s="57">
        <v>123000</v>
      </c>
      <c r="BE26" s="57" t="s">
        <v>253</v>
      </c>
      <c r="BF26" s="58">
        <v>2</v>
      </c>
      <c r="BH26" s="54" t="e">
        <f t="shared" si="11"/>
        <v>#VALUE!</v>
      </c>
      <c r="BI26" s="62" t="e">
        <f t="shared" si="11"/>
        <v>#VALUE!</v>
      </c>
      <c r="BJ26" s="62" t="e">
        <f t="shared" si="11"/>
        <v>#VALUE!</v>
      </c>
      <c r="BK26" s="62" t="e">
        <f t="shared" si="11"/>
        <v>#VALUE!</v>
      </c>
      <c r="BL26" s="62" t="e">
        <f t="shared" si="11"/>
        <v>#VALUE!</v>
      </c>
      <c r="BM26" s="62" t="e">
        <f t="shared" si="11"/>
        <v>#VALUE!</v>
      </c>
      <c r="BN26" s="62" t="e">
        <f t="shared" si="11"/>
        <v>#VALUE!</v>
      </c>
      <c r="BO26" s="62" t="e">
        <f t="shared" si="11"/>
        <v>#VALUE!</v>
      </c>
      <c r="BP26" s="62" t="e">
        <f t="shared" si="11"/>
        <v>#VALUE!</v>
      </c>
      <c r="BQ26" s="62" t="e">
        <f t="shared" si="11"/>
        <v>#VALUE!</v>
      </c>
      <c r="BR26" s="54" t="e">
        <f t="shared" si="11"/>
        <v>#VALUE!</v>
      </c>
      <c r="BS26" s="62" t="e">
        <f t="shared" si="11"/>
        <v>#VALUE!</v>
      </c>
      <c r="BT26" s="62" t="e">
        <f t="shared" si="11"/>
        <v>#VALUE!</v>
      </c>
      <c r="BU26" s="62" t="e">
        <f t="shared" si="11"/>
        <v>#VALUE!</v>
      </c>
      <c r="BV26" s="62" t="e">
        <f t="shared" si="11"/>
        <v>#VALUE!</v>
      </c>
      <c r="BW26" s="62" t="e">
        <f t="shared" si="11"/>
        <v>#VALUE!</v>
      </c>
      <c r="BX26" s="62" t="e">
        <f t="shared" si="12"/>
        <v>#VALUE!</v>
      </c>
      <c r="BY26" s="62" t="e">
        <f t="shared" si="12"/>
        <v>#VALUE!</v>
      </c>
      <c r="BZ26" s="62" t="e">
        <f t="shared" si="12"/>
        <v>#VALUE!</v>
      </c>
      <c r="CA26" s="62" t="e">
        <f t="shared" si="12"/>
        <v>#VALUE!</v>
      </c>
      <c r="CB26" s="54" t="e">
        <f t="shared" si="12"/>
        <v>#VALUE!</v>
      </c>
      <c r="CC26" s="62" t="e">
        <f t="shared" si="12"/>
        <v>#VALUE!</v>
      </c>
      <c r="CD26" s="62" t="e">
        <f t="shared" si="12"/>
        <v>#VALUE!</v>
      </c>
      <c r="CE26" s="62" t="e">
        <f t="shared" si="12"/>
        <v>#VALUE!</v>
      </c>
      <c r="CF26" s="62" t="e">
        <f t="shared" si="12"/>
        <v>#VALUE!</v>
      </c>
      <c r="CG26" s="62" t="e">
        <f t="shared" si="12"/>
        <v>#VALUE!</v>
      </c>
      <c r="CH26" s="62" t="e">
        <f t="shared" si="12"/>
        <v>#VALUE!</v>
      </c>
      <c r="CI26" s="62" t="e">
        <f t="shared" si="12"/>
        <v>#VALUE!</v>
      </c>
      <c r="CJ26" s="62" t="e">
        <f t="shared" si="12"/>
        <v>#VALUE!</v>
      </c>
      <c r="CK26" s="62" t="e">
        <f t="shared" si="12"/>
        <v>#VALUE!</v>
      </c>
      <c r="CL26" s="54" t="e">
        <f t="shared" si="12"/>
        <v>#VALUE!</v>
      </c>
      <c r="CM26" s="54" t="e">
        <f t="shared" si="12"/>
        <v>#VALUE!</v>
      </c>
      <c r="CN26" s="54" t="e">
        <f t="shared" si="13"/>
        <v>#VALUE!</v>
      </c>
      <c r="CO26" s="54" t="e">
        <f t="shared" si="13"/>
        <v>#VALUE!</v>
      </c>
      <c r="CP26" s="54" t="e">
        <f t="shared" si="13"/>
        <v>#VALUE!</v>
      </c>
      <c r="CQ26" s="54" t="e">
        <f t="shared" si="13"/>
        <v>#VALUE!</v>
      </c>
      <c r="CR26" s="54" t="e">
        <f t="shared" si="13"/>
        <v>#VALUE!</v>
      </c>
      <c r="CS26" s="54" t="e">
        <f t="shared" si="13"/>
        <v>#VALUE!</v>
      </c>
      <c r="CT26" s="54" t="e">
        <f t="shared" si="13"/>
        <v>#VALUE!</v>
      </c>
      <c r="CU26" s="54" t="e">
        <f t="shared" si="13"/>
        <v>#VALUE!</v>
      </c>
      <c r="CV26" s="54" t="e">
        <f t="shared" si="13"/>
        <v>#VALUE!</v>
      </c>
      <c r="CW26" s="54" t="e">
        <f t="shared" si="13"/>
        <v>#VALUE!</v>
      </c>
      <c r="CX26" s="54" t="e">
        <f t="shared" si="13"/>
        <v>#VALUE!</v>
      </c>
      <c r="CY26" s="54" t="e">
        <f t="shared" si="13"/>
        <v>#VALUE!</v>
      </c>
      <c r="CZ26" s="54" t="e">
        <f t="shared" si="13"/>
        <v>#VALUE!</v>
      </c>
      <c r="DA26" s="54" t="e">
        <f t="shared" si="13"/>
        <v>#VALUE!</v>
      </c>
      <c r="DC26" s="54" t="e">
        <f>SUM($BH26:BH26)</f>
        <v>#VALUE!</v>
      </c>
      <c r="DD26" s="62" t="e">
        <f>SUM($BH26:BI26)</f>
        <v>#VALUE!</v>
      </c>
      <c r="DE26" s="62" t="e">
        <f>SUM($BH26:BJ26)</f>
        <v>#VALUE!</v>
      </c>
      <c r="DF26" s="62" t="e">
        <f>SUM($BH26:BK26)</f>
        <v>#VALUE!</v>
      </c>
      <c r="DG26" s="62" t="e">
        <f>SUM($BH26:BL26)</f>
        <v>#VALUE!</v>
      </c>
      <c r="DH26" s="62" t="e">
        <f>SUM($BH26:BM26)</f>
        <v>#VALUE!</v>
      </c>
      <c r="DI26" s="62" t="e">
        <f>SUM($BH26:BN26)</f>
        <v>#VALUE!</v>
      </c>
      <c r="DJ26" s="62" t="e">
        <f>SUM($BH26:BO26)</f>
        <v>#VALUE!</v>
      </c>
      <c r="DK26" s="62" t="e">
        <f>SUM($BH26:BP26)</f>
        <v>#VALUE!</v>
      </c>
      <c r="DL26" s="62" t="e">
        <f>SUM($BH26:BQ26)</f>
        <v>#VALUE!</v>
      </c>
      <c r="DM26" s="54" t="e">
        <f>SUM($BH26:BR26)</f>
        <v>#VALUE!</v>
      </c>
      <c r="DN26" s="62" t="e">
        <f>SUM($BH26:BS26)</f>
        <v>#VALUE!</v>
      </c>
      <c r="DO26" s="62" t="e">
        <f>SUM($BH26:BT26)</f>
        <v>#VALUE!</v>
      </c>
      <c r="DP26" s="62" t="e">
        <f>SUM($BH26:BU26)</f>
        <v>#VALUE!</v>
      </c>
      <c r="DQ26" s="62" t="e">
        <f>SUM($BH26:BV26)</f>
        <v>#VALUE!</v>
      </c>
      <c r="DR26" s="62" t="e">
        <f>SUM($BH26:BW26)</f>
        <v>#VALUE!</v>
      </c>
      <c r="DS26" s="62" t="e">
        <f>SUM($BH26:BX26)</f>
        <v>#VALUE!</v>
      </c>
      <c r="DT26" s="62" t="e">
        <f>SUM($BH26:BY26)</f>
        <v>#VALUE!</v>
      </c>
      <c r="DU26" s="62" t="e">
        <f>SUM($BH26:BZ26)</f>
        <v>#VALUE!</v>
      </c>
      <c r="DV26" s="62" t="e">
        <f>SUM($BH26:CA26)</f>
        <v>#VALUE!</v>
      </c>
      <c r="DW26" s="54" t="e">
        <f>SUM($BH26:CB26)</f>
        <v>#VALUE!</v>
      </c>
      <c r="DX26" s="62" t="e">
        <f>SUM($BH26:CC26)</f>
        <v>#VALUE!</v>
      </c>
      <c r="DY26" s="62" t="e">
        <f>SUM($BH26:CD26)</f>
        <v>#VALUE!</v>
      </c>
      <c r="DZ26" s="62" t="e">
        <f>SUM($BH26:CE26)</f>
        <v>#VALUE!</v>
      </c>
      <c r="EA26" s="62" t="e">
        <f>SUM($BH26:CF26)</f>
        <v>#VALUE!</v>
      </c>
      <c r="EB26" s="62" t="e">
        <f>SUM($BH26:CG26)</f>
        <v>#VALUE!</v>
      </c>
      <c r="EC26" s="62" t="e">
        <f>SUM($BH26:CH26)</f>
        <v>#VALUE!</v>
      </c>
      <c r="ED26" s="62" t="e">
        <f>SUM($BH26:CI26)</f>
        <v>#VALUE!</v>
      </c>
      <c r="EE26" s="62" t="e">
        <f>SUM($BH26:CJ26)</f>
        <v>#VALUE!</v>
      </c>
      <c r="EF26" s="62" t="e">
        <f>SUM($BH26:CK26)</f>
        <v>#VALUE!</v>
      </c>
      <c r="EG26" s="54" t="e">
        <f>SUM($BH26:CL26)</f>
        <v>#VALUE!</v>
      </c>
      <c r="EH26" s="54" t="e">
        <f>SUM($BH26:CM26)</f>
        <v>#VALUE!</v>
      </c>
      <c r="EI26" s="54" t="e">
        <f>SUM($BH26:CN26)</f>
        <v>#VALUE!</v>
      </c>
      <c r="EJ26" s="54" t="e">
        <f>SUM($BH26:CO26)</f>
        <v>#VALUE!</v>
      </c>
      <c r="EK26" s="54" t="e">
        <f>SUM($BH26:CP26)</f>
        <v>#VALUE!</v>
      </c>
      <c r="EL26" s="54" t="e">
        <f>SUM($BH26:CQ26)</f>
        <v>#VALUE!</v>
      </c>
      <c r="EM26" s="54" t="e">
        <f>SUM($BH26:CR26)</f>
        <v>#VALUE!</v>
      </c>
      <c r="EN26" s="54" t="e">
        <f>SUM($BH26:CS26)</f>
        <v>#VALUE!</v>
      </c>
      <c r="EO26" s="54" t="e">
        <f>SUM($BH26:CT26)</f>
        <v>#VALUE!</v>
      </c>
      <c r="EP26" s="54" t="e">
        <f>SUM($BH26:CU26)</f>
        <v>#VALUE!</v>
      </c>
      <c r="EQ26" s="54" t="e">
        <f>SUM($BH26:CV26)</f>
        <v>#VALUE!</v>
      </c>
      <c r="ER26" s="54" t="e">
        <f>SUM($BH26:CW26)</f>
        <v>#VALUE!</v>
      </c>
      <c r="ES26" s="54" t="e">
        <f>SUM($BH26:CX26)</f>
        <v>#VALUE!</v>
      </c>
      <c r="ET26" s="54" t="e">
        <f>SUM($BH26:CY26)</f>
        <v>#VALUE!</v>
      </c>
      <c r="EU26" s="54" t="e">
        <f>SUM($BH26:CZ26)</f>
        <v>#VALUE!</v>
      </c>
      <c r="EV26" s="54" t="e">
        <f>SUM($BH26:DA26)</f>
        <v>#VALUE!</v>
      </c>
    </row>
    <row r="27" spans="2:152" ht="18.75" customHeight="1" x14ac:dyDescent="0.15">
      <c r="B27" s="59" t="str">
        <f ca="1">家賃シミュレーションシート!$AH67</f>
        <v/>
      </c>
      <c r="C27" s="60" t="s">
        <v>257</v>
      </c>
      <c r="D27" s="382" t="s">
        <v>258</v>
      </c>
      <c r="E27" s="383"/>
      <c r="F27" s="61">
        <v>45400</v>
      </c>
      <c r="G27" s="54" t="e">
        <f t="shared" si="6"/>
        <v>#VALUE!</v>
      </c>
      <c r="H27" s="62" t="e">
        <f t="shared" si="6"/>
        <v>#VALUE!</v>
      </c>
      <c r="I27" s="62" t="e">
        <f t="shared" si="6"/>
        <v>#VALUE!</v>
      </c>
      <c r="J27" s="62" t="e">
        <f t="shared" si="6"/>
        <v>#VALUE!</v>
      </c>
      <c r="K27" s="62" t="e">
        <f t="shared" si="6"/>
        <v>#VALUE!</v>
      </c>
      <c r="L27" s="62" t="e">
        <f t="shared" si="6"/>
        <v>#VALUE!</v>
      </c>
      <c r="M27" s="62" t="e">
        <f t="shared" si="6"/>
        <v>#VALUE!</v>
      </c>
      <c r="N27" s="62" t="e">
        <f t="shared" si="6"/>
        <v>#VALUE!</v>
      </c>
      <c r="O27" s="62" t="e">
        <f t="shared" si="6"/>
        <v>#VALUE!</v>
      </c>
      <c r="P27" s="62" t="e">
        <f t="shared" si="6"/>
        <v>#VALUE!</v>
      </c>
      <c r="Q27" s="54" t="e">
        <f t="shared" si="7"/>
        <v>#VALUE!</v>
      </c>
      <c r="R27" s="62" t="e">
        <f t="shared" si="7"/>
        <v>#VALUE!</v>
      </c>
      <c r="S27" s="62" t="e">
        <f t="shared" si="7"/>
        <v>#VALUE!</v>
      </c>
      <c r="T27" s="62" t="e">
        <f t="shared" si="7"/>
        <v>#VALUE!</v>
      </c>
      <c r="U27" s="62" t="e">
        <f t="shared" si="7"/>
        <v>#VALUE!</v>
      </c>
      <c r="V27" s="62" t="e">
        <f t="shared" si="7"/>
        <v>#VALUE!</v>
      </c>
      <c r="W27" s="62" t="e">
        <f t="shared" si="7"/>
        <v>#VALUE!</v>
      </c>
      <c r="X27" s="62" t="e">
        <f t="shared" si="7"/>
        <v>#VALUE!</v>
      </c>
      <c r="Y27" s="62" t="e">
        <f t="shared" si="7"/>
        <v>#VALUE!</v>
      </c>
      <c r="Z27" s="62" t="e">
        <f t="shared" si="7"/>
        <v>#VALUE!</v>
      </c>
      <c r="AA27" s="54" t="e">
        <f t="shared" si="8"/>
        <v>#VALUE!</v>
      </c>
      <c r="AB27" s="62" t="e">
        <f t="shared" si="8"/>
        <v>#VALUE!</v>
      </c>
      <c r="AC27" s="62" t="e">
        <f t="shared" si="8"/>
        <v>#VALUE!</v>
      </c>
      <c r="AD27" s="62" t="e">
        <f t="shared" si="8"/>
        <v>#VALUE!</v>
      </c>
      <c r="AE27" s="62" t="e">
        <f t="shared" si="8"/>
        <v>#VALUE!</v>
      </c>
      <c r="AF27" s="62" t="e">
        <f t="shared" si="8"/>
        <v>#VALUE!</v>
      </c>
      <c r="AG27" s="62" t="e">
        <f t="shared" si="8"/>
        <v>#VALUE!</v>
      </c>
      <c r="AH27" s="62" t="e">
        <f t="shared" si="8"/>
        <v>#VALUE!</v>
      </c>
      <c r="AI27" s="62" t="e">
        <f t="shared" si="8"/>
        <v>#VALUE!</v>
      </c>
      <c r="AJ27" s="62" t="e">
        <f t="shared" si="8"/>
        <v>#VALUE!</v>
      </c>
      <c r="AK27" s="54" t="e">
        <f t="shared" si="9"/>
        <v>#VALUE!</v>
      </c>
      <c r="AL27" s="54" t="e">
        <f t="shared" si="9"/>
        <v>#VALUE!</v>
      </c>
      <c r="AM27" s="54" t="e">
        <f t="shared" si="9"/>
        <v>#VALUE!</v>
      </c>
      <c r="AN27" s="54" t="e">
        <f t="shared" si="9"/>
        <v>#VALUE!</v>
      </c>
      <c r="AO27" s="54" t="e">
        <f t="shared" si="9"/>
        <v>#VALUE!</v>
      </c>
      <c r="AP27" s="54" t="e">
        <f t="shared" si="9"/>
        <v>#VALUE!</v>
      </c>
      <c r="AQ27" s="54" t="e">
        <f t="shared" si="9"/>
        <v>#VALUE!</v>
      </c>
      <c r="AR27" s="54" t="e">
        <f t="shared" si="9"/>
        <v>#VALUE!</v>
      </c>
      <c r="AS27" s="54" t="e">
        <f t="shared" si="9"/>
        <v>#VALUE!</v>
      </c>
      <c r="AT27" s="54" t="e">
        <f t="shared" si="9"/>
        <v>#VALUE!</v>
      </c>
      <c r="AU27" s="54" t="e">
        <f t="shared" si="10"/>
        <v>#VALUE!</v>
      </c>
      <c r="AV27" s="54" t="e">
        <f t="shared" si="10"/>
        <v>#VALUE!</v>
      </c>
      <c r="AW27" s="54" t="e">
        <f t="shared" si="10"/>
        <v>#VALUE!</v>
      </c>
      <c r="AX27" s="54" t="e">
        <f t="shared" si="10"/>
        <v>#VALUE!</v>
      </c>
      <c r="AY27" s="54" t="e">
        <f t="shared" si="10"/>
        <v>#VALUE!</v>
      </c>
      <c r="AZ27" s="54" t="e">
        <f t="shared" si="10"/>
        <v>#VALUE!</v>
      </c>
      <c r="BB27" s="57">
        <f t="shared" si="14"/>
        <v>123001</v>
      </c>
      <c r="BC27" s="57" t="s">
        <v>256</v>
      </c>
      <c r="BD27" s="57">
        <v>139000</v>
      </c>
      <c r="BE27" s="57" t="s">
        <v>253</v>
      </c>
      <c r="BF27" s="58">
        <v>3</v>
      </c>
      <c r="BH27" s="54" t="e">
        <f t="shared" si="11"/>
        <v>#VALUE!</v>
      </c>
      <c r="BI27" s="62" t="e">
        <f t="shared" si="11"/>
        <v>#VALUE!</v>
      </c>
      <c r="BJ27" s="62" t="e">
        <f t="shared" si="11"/>
        <v>#VALUE!</v>
      </c>
      <c r="BK27" s="62" t="e">
        <f t="shared" si="11"/>
        <v>#VALUE!</v>
      </c>
      <c r="BL27" s="62" t="e">
        <f t="shared" si="11"/>
        <v>#VALUE!</v>
      </c>
      <c r="BM27" s="62" t="e">
        <f t="shared" si="11"/>
        <v>#VALUE!</v>
      </c>
      <c r="BN27" s="62" t="e">
        <f t="shared" si="11"/>
        <v>#VALUE!</v>
      </c>
      <c r="BO27" s="62" t="e">
        <f t="shared" si="11"/>
        <v>#VALUE!</v>
      </c>
      <c r="BP27" s="62" t="e">
        <f t="shared" si="11"/>
        <v>#VALUE!</v>
      </c>
      <c r="BQ27" s="62" t="e">
        <f t="shared" si="11"/>
        <v>#VALUE!</v>
      </c>
      <c r="BR27" s="54" t="e">
        <f t="shared" si="11"/>
        <v>#VALUE!</v>
      </c>
      <c r="BS27" s="62" t="e">
        <f t="shared" si="11"/>
        <v>#VALUE!</v>
      </c>
      <c r="BT27" s="62" t="e">
        <f t="shared" si="11"/>
        <v>#VALUE!</v>
      </c>
      <c r="BU27" s="62" t="e">
        <f t="shared" si="11"/>
        <v>#VALUE!</v>
      </c>
      <c r="BV27" s="62" t="e">
        <f t="shared" si="11"/>
        <v>#VALUE!</v>
      </c>
      <c r="BW27" s="62" t="e">
        <f t="shared" si="11"/>
        <v>#VALUE!</v>
      </c>
      <c r="BX27" s="62" t="e">
        <f t="shared" si="12"/>
        <v>#VALUE!</v>
      </c>
      <c r="BY27" s="62" t="e">
        <f t="shared" si="12"/>
        <v>#VALUE!</v>
      </c>
      <c r="BZ27" s="62" t="e">
        <f t="shared" si="12"/>
        <v>#VALUE!</v>
      </c>
      <c r="CA27" s="62" t="e">
        <f t="shared" si="12"/>
        <v>#VALUE!</v>
      </c>
      <c r="CB27" s="54" t="e">
        <f t="shared" si="12"/>
        <v>#VALUE!</v>
      </c>
      <c r="CC27" s="62" t="e">
        <f t="shared" si="12"/>
        <v>#VALUE!</v>
      </c>
      <c r="CD27" s="62" t="e">
        <f t="shared" si="12"/>
        <v>#VALUE!</v>
      </c>
      <c r="CE27" s="62" t="e">
        <f t="shared" si="12"/>
        <v>#VALUE!</v>
      </c>
      <c r="CF27" s="62" t="e">
        <f t="shared" si="12"/>
        <v>#VALUE!</v>
      </c>
      <c r="CG27" s="62" t="e">
        <f t="shared" si="12"/>
        <v>#VALUE!</v>
      </c>
      <c r="CH27" s="62" t="e">
        <f t="shared" si="12"/>
        <v>#VALUE!</v>
      </c>
      <c r="CI27" s="62" t="e">
        <f t="shared" si="12"/>
        <v>#VALUE!</v>
      </c>
      <c r="CJ27" s="62" t="e">
        <f t="shared" si="12"/>
        <v>#VALUE!</v>
      </c>
      <c r="CK27" s="62" t="e">
        <f t="shared" si="12"/>
        <v>#VALUE!</v>
      </c>
      <c r="CL27" s="54" t="e">
        <f t="shared" si="12"/>
        <v>#VALUE!</v>
      </c>
      <c r="CM27" s="54" t="e">
        <f t="shared" si="12"/>
        <v>#VALUE!</v>
      </c>
      <c r="CN27" s="54" t="e">
        <f t="shared" si="13"/>
        <v>#VALUE!</v>
      </c>
      <c r="CO27" s="54" t="e">
        <f t="shared" si="13"/>
        <v>#VALUE!</v>
      </c>
      <c r="CP27" s="54" t="e">
        <f t="shared" si="13"/>
        <v>#VALUE!</v>
      </c>
      <c r="CQ27" s="54" t="e">
        <f t="shared" si="13"/>
        <v>#VALUE!</v>
      </c>
      <c r="CR27" s="54" t="e">
        <f t="shared" si="13"/>
        <v>#VALUE!</v>
      </c>
      <c r="CS27" s="54" t="e">
        <f t="shared" si="13"/>
        <v>#VALUE!</v>
      </c>
      <c r="CT27" s="54" t="e">
        <f t="shared" si="13"/>
        <v>#VALUE!</v>
      </c>
      <c r="CU27" s="54" t="e">
        <f t="shared" si="13"/>
        <v>#VALUE!</v>
      </c>
      <c r="CV27" s="54" t="e">
        <f t="shared" si="13"/>
        <v>#VALUE!</v>
      </c>
      <c r="CW27" s="54" t="e">
        <f t="shared" si="13"/>
        <v>#VALUE!</v>
      </c>
      <c r="CX27" s="54" t="e">
        <f t="shared" si="13"/>
        <v>#VALUE!</v>
      </c>
      <c r="CY27" s="54" t="e">
        <f t="shared" si="13"/>
        <v>#VALUE!</v>
      </c>
      <c r="CZ27" s="54" t="e">
        <f t="shared" si="13"/>
        <v>#VALUE!</v>
      </c>
      <c r="DA27" s="54" t="e">
        <f t="shared" si="13"/>
        <v>#VALUE!</v>
      </c>
      <c r="DC27" s="54" t="e">
        <f>SUM($BH27:BH27)</f>
        <v>#VALUE!</v>
      </c>
      <c r="DD27" s="62" t="e">
        <f>SUM($BH27:BI27)</f>
        <v>#VALUE!</v>
      </c>
      <c r="DE27" s="62" t="e">
        <f>SUM($BH27:BJ27)</f>
        <v>#VALUE!</v>
      </c>
      <c r="DF27" s="62" t="e">
        <f>SUM($BH27:BK27)</f>
        <v>#VALUE!</v>
      </c>
      <c r="DG27" s="62" t="e">
        <f>SUM($BH27:BL27)</f>
        <v>#VALUE!</v>
      </c>
      <c r="DH27" s="62" t="e">
        <f>SUM($BH27:BM27)</f>
        <v>#VALUE!</v>
      </c>
      <c r="DI27" s="62" t="e">
        <f>SUM($BH27:BN27)</f>
        <v>#VALUE!</v>
      </c>
      <c r="DJ27" s="62" t="e">
        <f>SUM($BH27:BO27)</f>
        <v>#VALUE!</v>
      </c>
      <c r="DK27" s="62" t="e">
        <f>SUM($BH27:BP27)</f>
        <v>#VALUE!</v>
      </c>
      <c r="DL27" s="62" t="e">
        <f>SUM($BH27:BQ27)</f>
        <v>#VALUE!</v>
      </c>
      <c r="DM27" s="54" t="e">
        <f>SUM($BH27:BR27)</f>
        <v>#VALUE!</v>
      </c>
      <c r="DN27" s="62" t="e">
        <f>SUM($BH27:BS27)</f>
        <v>#VALUE!</v>
      </c>
      <c r="DO27" s="62" t="e">
        <f>SUM($BH27:BT27)</f>
        <v>#VALUE!</v>
      </c>
      <c r="DP27" s="62" t="e">
        <f>SUM($BH27:BU27)</f>
        <v>#VALUE!</v>
      </c>
      <c r="DQ27" s="62" t="e">
        <f>SUM($BH27:BV27)</f>
        <v>#VALUE!</v>
      </c>
      <c r="DR27" s="62" t="e">
        <f>SUM($BH27:BW27)</f>
        <v>#VALUE!</v>
      </c>
      <c r="DS27" s="62" t="e">
        <f>SUM($BH27:BX27)</f>
        <v>#VALUE!</v>
      </c>
      <c r="DT27" s="62" t="e">
        <f>SUM($BH27:BY27)</f>
        <v>#VALUE!</v>
      </c>
      <c r="DU27" s="62" t="e">
        <f>SUM($BH27:BZ27)</f>
        <v>#VALUE!</v>
      </c>
      <c r="DV27" s="62" t="e">
        <f>SUM($BH27:CA27)</f>
        <v>#VALUE!</v>
      </c>
      <c r="DW27" s="54" t="e">
        <f>SUM($BH27:CB27)</f>
        <v>#VALUE!</v>
      </c>
      <c r="DX27" s="62" t="e">
        <f>SUM($BH27:CC27)</f>
        <v>#VALUE!</v>
      </c>
      <c r="DY27" s="62" t="e">
        <f>SUM($BH27:CD27)</f>
        <v>#VALUE!</v>
      </c>
      <c r="DZ27" s="62" t="e">
        <f>SUM($BH27:CE27)</f>
        <v>#VALUE!</v>
      </c>
      <c r="EA27" s="62" t="e">
        <f>SUM($BH27:CF27)</f>
        <v>#VALUE!</v>
      </c>
      <c r="EB27" s="62" t="e">
        <f>SUM($BH27:CG27)</f>
        <v>#VALUE!</v>
      </c>
      <c r="EC27" s="62" t="e">
        <f>SUM($BH27:CH27)</f>
        <v>#VALUE!</v>
      </c>
      <c r="ED27" s="62" t="e">
        <f>SUM($BH27:CI27)</f>
        <v>#VALUE!</v>
      </c>
      <c r="EE27" s="62" t="e">
        <f>SUM($BH27:CJ27)</f>
        <v>#VALUE!</v>
      </c>
      <c r="EF27" s="62" t="e">
        <f>SUM($BH27:CK27)</f>
        <v>#VALUE!</v>
      </c>
      <c r="EG27" s="54" t="e">
        <f>SUM($BH27:CL27)</f>
        <v>#VALUE!</v>
      </c>
      <c r="EH27" s="54" t="e">
        <f>SUM($BH27:CM27)</f>
        <v>#VALUE!</v>
      </c>
      <c r="EI27" s="54" t="e">
        <f>SUM($BH27:CN27)</f>
        <v>#VALUE!</v>
      </c>
      <c r="EJ27" s="54" t="e">
        <f>SUM($BH27:CO27)</f>
        <v>#VALUE!</v>
      </c>
      <c r="EK27" s="54" t="e">
        <f>SUM($BH27:CP27)</f>
        <v>#VALUE!</v>
      </c>
      <c r="EL27" s="54" t="e">
        <f>SUM($BH27:CQ27)</f>
        <v>#VALUE!</v>
      </c>
      <c r="EM27" s="54" t="e">
        <f>SUM($BH27:CR27)</f>
        <v>#VALUE!</v>
      </c>
      <c r="EN27" s="54" t="e">
        <f>SUM($BH27:CS27)</f>
        <v>#VALUE!</v>
      </c>
      <c r="EO27" s="54" t="e">
        <f>SUM($BH27:CT27)</f>
        <v>#VALUE!</v>
      </c>
      <c r="EP27" s="54" t="e">
        <f>SUM($BH27:CU27)</f>
        <v>#VALUE!</v>
      </c>
      <c r="EQ27" s="54" t="e">
        <f>SUM($BH27:CV27)</f>
        <v>#VALUE!</v>
      </c>
      <c r="ER27" s="54" t="e">
        <f>SUM($BH27:CW27)</f>
        <v>#VALUE!</v>
      </c>
      <c r="ES27" s="54" t="e">
        <f>SUM($BH27:CX27)</f>
        <v>#VALUE!</v>
      </c>
      <c r="ET27" s="54" t="e">
        <f>SUM($BH27:CY27)</f>
        <v>#VALUE!</v>
      </c>
      <c r="EU27" s="54" t="e">
        <f>SUM($BH27:CZ27)</f>
        <v>#VALUE!</v>
      </c>
      <c r="EV27" s="54" t="e">
        <f>SUM($BH27:DA27)</f>
        <v>#VALUE!</v>
      </c>
    </row>
    <row r="28" spans="2:152" ht="18.75" customHeight="1" x14ac:dyDescent="0.15">
      <c r="B28" s="59" t="str">
        <f ca="1">家賃シミュレーションシート!$AH68</f>
        <v/>
      </c>
      <c r="C28" s="60" t="s">
        <v>259</v>
      </c>
      <c r="D28" s="382" t="s">
        <v>260</v>
      </c>
      <c r="E28" s="383"/>
      <c r="F28" s="61">
        <v>51200</v>
      </c>
      <c r="G28" s="63" t="e">
        <f t="shared" si="6"/>
        <v>#VALUE!</v>
      </c>
      <c r="H28" s="62" t="e">
        <f t="shared" si="6"/>
        <v>#VALUE!</v>
      </c>
      <c r="I28" s="62" t="e">
        <f t="shared" si="6"/>
        <v>#VALUE!</v>
      </c>
      <c r="J28" s="62" t="e">
        <f t="shared" si="6"/>
        <v>#VALUE!</v>
      </c>
      <c r="K28" s="62" t="e">
        <f t="shared" si="6"/>
        <v>#VALUE!</v>
      </c>
      <c r="L28" s="62" t="e">
        <f t="shared" si="6"/>
        <v>#VALUE!</v>
      </c>
      <c r="M28" s="62" t="e">
        <f t="shared" si="6"/>
        <v>#VALUE!</v>
      </c>
      <c r="N28" s="62" t="e">
        <f t="shared" si="6"/>
        <v>#VALUE!</v>
      </c>
      <c r="O28" s="62" t="e">
        <f t="shared" si="6"/>
        <v>#VALUE!</v>
      </c>
      <c r="P28" s="62" t="e">
        <f t="shared" si="6"/>
        <v>#VALUE!</v>
      </c>
      <c r="Q28" s="54" t="e">
        <f t="shared" si="7"/>
        <v>#VALUE!</v>
      </c>
      <c r="R28" s="62" t="e">
        <f t="shared" si="7"/>
        <v>#VALUE!</v>
      </c>
      <c r="S28" s="62" t="e">
        <f t="shared" si="7"/>
        <v>#VALUE!</v>
      </c>
      <c r="T28" s="62" t="e">
        <f t="shared" si="7"/>
        <v>#VALUE!</v>
      </c>
      <c r="U28" s="62" t="e">
        <f t="shared" si="7"/>
        <v>#VALUE!</v>
      </c>
      <c r="V28" s="62" t="e">
        <f t="shared" si="7"/>
        <v>#VALUE!</v>
      </c>
      <c r="W28" s="62" t="e">
        <f t="shared" si="7"/>
        <v>#VALUE!</v>
      </c>
      <c r="X28" s="62" t="e">
        <f t="shared" si="7"/>
        <v>#VALUE!</v>
      </c>
      <c r="Y28" s="62" t="e">
        <f t="shared" si="7"/>
        <v>#VALUE!</v>
      </c>
      <c r="Z28" s="62" t="e">
        <f t="shared" si="7"/>
        <v>#VALUE!</v>
      </c>
      <c r="AA28" s="54" t="e">
        <f t="shared" si="8"/>
        <v>#VALUE!</v>
      </c>
      <c r="AB28" s="62" t="e">
        <f t="shared" si="8"/>
        <v>#VALUE!</v>
      </c>
      <c r="AC28" s="62" t="e">
        <f t="shared" si="8"/>
        <v>#VALUE!</v>
      </c>
      <c r="AD28" s="62" t="e">
        <f t="shared" si="8"/>
        <v>#VALUE!</v>
      </c>
      <c r="AE28" s="62" t="e">
        <f t="shared" si="8"/>
        <v>#VALUE!</v>
      </c>
      <c r="AF28" s="62" t="e">
        <f t="shared" si="8"/>
        <v>#VALUE!</v>
      </c>
      <c r="AG28" s="62" t="e">
        <f t="shared" si="8"/>
        <v>#VALUE!</v>
      </c>
      <c r="AH28" s="62" t="e">
        <f t="shared" si="8"/>
        <v>#VALUE!</v>
      </c>
      <c r="AI28" s="62" t="e">
        <f t="shared" si="8"/>
        <v>#VALUE!</v>
      </c>
      <c r="AJ28" s="62" t="e">
        <f t="shared" si="8"/>
        <v>#VALUE!</v>
      </c>
      <c r="AK28" s="54" t="e">
        <f t="shared" si="9"/>
        <v>#VALUE!</v>
      </c>
      <c r="AL28" s="54" t="e">
        <f t="shared" si="9"/>
        <v>#VALUE!</v>
      </c>
      <c r="AM28" s="54" t="e">
        <f t="shared" si="9"/>
        <v>#VALUE!</v>
      </c>
      <c r="AN28" s="54" t="e">
        <f t="shared" si="9"/>
        <v>#VALUE!</v>
      </c>
      <c r="AO28" s="54" t="e">
        <f t="shared" si="9"/>
        <v>#VALUE!</v>
      </c>
      <c r="AP28" s="54" t="e">
        <f t="shared" si="9"/>
        <v>#VALUE!</v>
      </c>
      <c r="AQ28" s="54" t="e">
        <f t="shared" si="9"/>
        <v>#VALUE!</v>
      </c>
      <c r="AR28" s="54" t="e">
        <f t="shared" si="9"/>
        <v>#VALUE!</v>
      </c>
      <c r="AS28" s="54" t="e">
        <f t="shared" si="9"/>
        <v>#VALUE!</v>
      </c>
      <c r="AT28" s="54" t="e">
        <f t="shared" si="9"/>
        <v>#VALUE!</v>
      </c>
      <c r="AU28" s="54" t="e">
        <f t="shared" si="10"/>
        <v>#VALUE!</v>
      </c>
      <c r="AV28" s="54" t="e">
        <f t="shared" si="10"/>
        <v>#VALUE!</v>
      </c>
      <c r="AW28" s="54" t="e">
        <f t="shared" si="10"/>
        <v>#VALUE!</v>
      </c>
      <c r="AX28" s="54" t="e">
        <f t="shared" si="10"/>
        <v>#VALUE!</v>
      </c>
      <c r="AY28" s="54" t="e">
        <f t="shared" si="10"/>
        <v>#VALUE!</v>
      </c>
      <c r="AZ28" s="54" t="e">
        <f t="shared" si="10"/>
        <v>#VALUE!</v>
      </c>
      <c r="BB28" s="57">
        <f t="shared" si="14"/>
        <v>139001</v>
      </c>
      <c r="BC28" s="57" t="s">
        <v>256</v>
      </c>
      <c r="BD28" s="57">
        <v>158000</v>
      </c>
      <c r="BE28" s="57" t="s">
        <v>253</v>
      </c>
      <c r="BF28" s="58">
        <v>4</v>
      </c>
      <c r="BH28" s="54" t="e">
        <f t="shared" si="11"/>
        <v>#VALUE!</v>
      </c>
      <c r="BI28" s="62" t="e">
        <f t="shared" si="11"/>
        <v>#VALUE!</v>
      </c>
      <c r="BJ28" s="62" t="e">
        <f t="shared" si="11"/>
        <v>#VALUE!</v>
      </c>
      <c r="BK28" s="62" t="e">
        <f t="shared" si="11"/>
        <v>#VALUE!</v>
      </c>
      <c r="BL28" s="62" t="e">
        <f t="shared" si="11"/>
        <v>#VALUE!</v>
      </c>
      <c r="BM28" s="62" t="e">
        <f t="shared" si="11"/>
        <v>#VALUE!</v>
      </c>
      <c r="BN28" s="62" t="e">
        <f t="shared" si="11"/>
        <v>#VALUE!</v>
      </c>
      <c r="BO28" s="62" t="e">
        <f t="shared" si="11"/>
        <v>#VALUE!</v>
      </c>
      <c r="BP28" s="62" t="e">
        <f t="shared" si="11"/>
        <v>#VALUE!</v>
      </c>
      <c r="BQ28" s="62" t="e">
        <f t="shared" si="11"/>
        <v>#VALUE!</v>
      </c>
      <c r="BR28" s="54" t="e">
        <f t="shared" si="11"/>
        <v>#VALUE!</v>
      </c>
      <c r="BS28" s="62" t="e">
        <f t="shared" si="11"/>
        <v>#VALUE!</v>
      </c>
      <c r="BT28" s="62" t="e">
        <f t="shared" si="11"/>
        <v>#VALUE!</v>
      </c>
      <c r="BU28" s="62" t="e">
        <f t="shared" si="11"/>
        <v>#VALUE!</v>
      </c>
      <c r="BV28" s="62" t="e">
        <f t="shared" si="11"/>
        <v>#VALUE!</v>
      </c>
      <c r="BW28" s="62" t="e">
        <f t="shared" si="11"/>
        <v>#VALUE!</v>
      </c>
      <c r="BX28" s="62" t="e">
        <f t="shared" si="12"/>
        <v>#VALUE!</v>
      </c>
      <c r="BY28" s="62" t="e">
        <f t="shared" si="12"/>
        <v>#VALUE!</v>
      </c>
      <c r="BZ28" s="62" t="e">
        <f t="shared" si="12"/>
        <v>#VALUE!</v>
      </c>
      <c r="CA28" s="62" t="e">
        <f t="shared" si="12"/>
        <v>#VALUE!</v>
      </c>
      <c r="CB28" s="54" t="e">
        <f t="shared" si="12"/>
        <v>#VALUE!</v>
      </c>
      <c r="CC28" s="62" t="e">
        <f t="shared" si="12"/>
        <v>#VALUE!</v>
      </c>
      <c r="CD28" s="62" t="e">
        <f t="shared" si="12"/>
        <v>#VALUE!</v>
      </c>
      <c r="CE28" s="62" t="e">
        <f t="shared" si="12"/>
        <v>#VALUE!</v>
      </c>
      <c r="CF28" s="62" t="e">
        <f t="shared" si="12"/>
        <v>#VALUE!</v>
      </c>
      <c r="CG28" s="62" t="e">
        <f t="shared" si="12"/>
        <v>#VALUE!</v>
      </c>
      <c r="CH28" s="62" t="e">
        <f t="shared" si="12"/>
        <v>#VALUE!</v>
      </c>
      <c r="CI28" s="62" t="e">
        <f t="shared" si="12"/>
        <v>#VALUE!</v>
      </c>
      <c r="CJ28" s="62" t="e">
        <f t="shared" si="12"/>
        <v>#VALUE!</v>
      </c>
      <c r="CK28" s="62" t="e">
        <f t="shared" si="12"/>
        <v>#VALUE!</v>
      </c>
      <c r="CL28" s="54" t="e">
        <f t="shared" si="12"/>
        <v>#VALUE!</v>
      </c>
      <c r="CM28" s="54" t="e">
        <f t="shared" si="12"/>
        <v>#VALUE!</v>
      </c>
      <c r="CN28" s="54" t="e">
        <f t="shared" si="13"/>
        <v>#VALUE!</v>
      </c>
      <c r="CO28" s="54" t="e">
        <f t="shared" si="13"/>
        <v>#VALUE!</v>
      </c>
      <c r="CP28" s="54" t="e">
        <f t="shared" si="13"/>
        <v>#VALUE!</v>
      </c>
      <c r="CQ28" s="54" t="e">
        <f t="shared" si="13"/>
        <v>#VALUE!</v>
      </c>
      <c r="CR28" s="54" t="e">
        <f t="shared" si="13"/>
        <v>#VALUE!</v>
      </c>
      <c r="CS28" s="54" t="e">
        <f t="shared" si="13"/>
        <v>#VALUE!</v>
      </c>
      <c r="CT28" s="54" t="e">
        <f t="shared" si="13"/>
        <v>#VALUE!</v>
      </c>
      <c r="CU28" s="54" t="e">
        <f t="shared" si="13"/>
        <v>#VALUE!</v>
      </c>
      <c r="CV28" s="54" t="e">
        <f t="shared" si="13"/>
        <v>#VALUE!</v>
      </c>
      <c r="CW28" s="54" t="e">
        <f t="shared" si="13"/>
        <v>#VALUE!</v>
      </c>
      <c r="CX28" s="54" t="e">
        <f t="shared" si="13"/>
        <v>#VALUE!</v>
      </c>
      <c r="CY28" s="54" t="e">
        <f t="shared" si="13"/>
        <v>#VALUE!</v>
      </c>
      <c r="CZ28" s="54" t="e">
        <f t="shared" si="13"/>
        <v>#VALUE!</v>
      </c>
      <c r="DA28" s="54" t="e">
        <f t="shared" si="13"/>
        <v>#VALUE!</v>
      </c>
      <c r="DC28" s="54" t="e">
        <f>SUM($BH28:BH28)</f>
        <v>#VALUE!</v>
      </c>
      <c r="DD28" s="62" t="e">
        <f>SUM($BH28:BI28)</f>
        <v>#VALUE!</v>
      </c>
      <c r="DE28" s="62" t="e">
        <f>SUM($BH28:BJ28)</f>
        <v>#VALUE!</v>
      </c>
      <c r="DF28" s="62" t="e">
        <f>SUM($BH28:BK28)</f>
        <v>#VALUE!</v>
      </c>
      <c r="DG28" s="62" t="e">
        <f>SUM($BH28:BL28)</f>
        <v>#VALUE!</v>
      </c>
      <c r="DH28" s="62" t="e">
        <f>SUM($BH28:BM28)</f>
        <v>#VALUE!</v>
      </c>
      <c r="DI28" s="62" t="e">
        <f>SUM($BH28:BN28)</f>
        <v>#VALUE!</v>
      </c>
      <c r="DJ28" s="62" t="e">
        <f>SUM($BH28:BO28)</f>
        <v>#VALUE!</v>
      </c>
      <c r="DK28" s="62" t="e">
        <f>SUM($BH28:BP28)</f>
        <v>#VALUE!</v>
      </c>
      <c r="DL28" s="62" t="e">
        <f>SUM($BH28:BQ28)</f>
        <v>#VALUE!</v>
      </c>
      <c r="DM28" s="54" t="e">
        <f>SUM($BH28:BR28)</f>
        <v>#VALUE!</v>
      </c>
      <c r="DN28" s="62" t="e">
        <f>SUM($BH28:BS28)</f>
        <v>#VALUE!</v>
      </c>
      <c r="DO28" s="62" t="e">
        <f>SUM($BH28:BT28)</f>
        <v>#VALUE!</v>
      </c>
      <c r="DP28" s="62" t="e">
        <f>SUM($BH28:BU28)</f>
        <v>#VALUE!</v>
      </c>
      <c r="DQ28" s="62" t="e">
        <f>SUM($BH28:BV28)</f>
        <v>#VALUE!</v>
      </c>
      <c r="DR28" s="62" t="e">
        <f>SUM($BH28:BW28)</f>
        <v>#VALUE!</v>
      </c>
      <c r="DS28" s="62" t="e">
        <f>SUM($BH28:BX28)</f>
        <v>#VALUE!</v>
      </c>
      <c r="DT28" s="62" t="e">
        <f>SUM($BH28:BY28)</f>
        <v>#VALUE!</v>
      </c>
      <c r="DU28" s="62" t="e">
        <f>SUM($BH28:BZ28)</f>
        <v>#VALUE!</v>
      </c>
      <c r="DV28" s="62" t="e">
        <f>SUM($BH28:CA28)</f>
        <v>#VALUE!</v>
      </c>
      <c r="DW28" s="54" t="e">
        <f>SUM($BH28:CB28)</f>
        <v>#VALUE!</v>
      </c>
      <c r="DX28" s="62" t="e">
        <f>SUM($BH28:CC28)</f>
        <v>#VALUE!</v>
      </c>
      <c r="DY28" s="62" t="e">
        <f>SUM($BH28:CD28)</f>
        <v>#VALUE!</v>
      </c>
      <c r="DZ28" s="62" t="e">
        <f>SUM($BH28:CE28)</f>
        <v>#VALUE!</v>
      </c>
      <c r="EA28" s="62" t="e">
        <f>SUM($BH28:CF28)</f>
        <v>#VALUE!</v>
      </c>
      <c r="EB28" s="62" t="e">
        <f>SUM($BH28:CG28)</f>
        <v>#VALUE!</v>
      </c>
      <c r="EC28" s="62" t="e">
        <f>SUM($BH28:CH28)</f>
        <v>#VALUE!</v>
      </c>
      <c r="ED28" s="62" t="e">
        <f>SUM($BH28:CI28)</f>
        <v>#VALUE!</v>
      </c>
      <c r="EE28" s="62" t="e">
        <f>SUM($BH28:CJ28)</f>
        <v>#VALUE!</v>
      </c>
      <c r="EF28" s="62" t="e">
        <f>SUM($BH28:CK28)</f>
        <v>#VALUE!</v>
      </c>
      <c r="EG28" s="54" t="e">
        <f>SUM($BH28:CL28)</f>
        <v>#VALUE!</v>
      </c>
      <c r="EH28" s="54" t="e">
        <f>SUM($BH28:CM28)</f>
        <v>#VALUE!</v>
      </c>
      <c r="EI28" s="54" t="e">
        <f>SUM($BH28:CN28)</f>
        <v>#VALUE!</v>
      </c>
      <c r="EJ28" s="54" t="e">
        <f>SUM($BH28:CO28)</f>
        <v>#VALUE!</v>
      </c>
      <c r="EK28" s="54" t="e">
        <f>SUM($BH28:CP28)</f>
        <v>#VALUE!</v>
      </c>
      <c r="EL28" s="54" t="e">
        <f>SUM($BH28:CQ28)</f>
        <v>#VALUE!</v>
      </c>
      <c r="EM28" s="54" t="e">
        <f>SUM($BH28:CR28)</f>
        <v>#VALUE!</v>
      </c>
      <c r="EN28" s="54" t="e">
        <f>SUM($BH28:CS28)</f>
        <v>#VALUE!</v>
      </c>
      <c r="EO28" s="54" t="e">
        <f>SUM($BH28:CT28)</f>
        <v>#VALUE!</v>
      </c>
      <c r="EP28" s="54" t="e">
        <f>SUM($BH28:CU28)</f>
        <v>#VALUE!</v>
      </c>
      <c r="EQ28" s="54" t="e">
        <f>SUM($BH28:CV28)</f>
        <v>#VALUE!</v>
      </c>
      <c r="ER28" s="54" t="e">
        <f>SUM($BH28:CW28)</f>
        <v>#VALUE!</v>
      </c>
      <c r="ES28" s="54" t="e">
        <f>SUM($BH28:CX28)</f>
        <v>#VALUE!</v>
      </c>
      <c r="ET28" s="54" t="e">
        <f>SUM($BH28:CY28)</f>
        <v>#VALUE!</v>
      </c>
      <c r="EU28" s="54" t="e">
        <f>SUM($BH28:CZ28)</f>
        <v>#VALUE!</v>
      </c>
      <c r="EV28" s="54" t="e">
        <f>SUM($BH28:DA28)</f>
        <v>#VALUE!</v>
      </c>
    </row>
    <row r="29" spans="2:152" ht="18.75" customHeight="1" x14ac:dyDescent="0.15">
      <c r="B29" s="59" t="str">
        <f ca="1">家賃シミュレーションシート!$AH69</f>
        <v/>
      </c>
      <c r="C29" s="60" t="s">
        <v>261</v>
      </c>
      <c r="D29" s="382" t="s">
        <v>262</v>
      </c>
      <c r="E29" s="383"/>
      <c r="F29" s="61">
        <v>58500</v>
      </c>
      <c r="G29" s="54" t="e">
        <f t="shared" si="6"/>
        <v>#VALUE!</v>
      </c>
      <c r="H29" s="62" t="e">
        <f t="shared" si="6"/>
        <v>#VALUE!</v>
      </c>
      <c r="I29" s="62" t="e">
        <f t="shared" si="6"/>
        <v>#VALUE!</v>
      </c>
      <c r="J29" s="62" t="e">
        <f t="shared" si="6"/>
        <v>#VALUE!</v>
      </c>
      <c r="K29" s="62" t="e">
        <f t="shared" si="6"/>
        <v>#VALUE!</v>
      </c>
      <c r="L29" s="62" t="e">
        <f t="shared" si="6"/>
        <v>#VALUE!</v>
      </c>
      <c r="M29" s="62" t="e">
        <f t="shared" si="6"/>
        <v>#VALUE!</v>
      </c>
      <c r="N29" s="62" t="e">
        <f t="shared" si="6"/>
        <v>#VALUE!</v>
      </c>
      <c r="O29" s="62" t="e">
        <f t="shared" si="6"/>
        <v>#VALUE!</v>
      </c>
      <c r="P29" s="62" t="e">
        <f t="shared" si="6"/>
        <v>#VALUE!</v>
      </c>
      <c r="Q29" s="54" t="e">
        <f t="shared" si="7"/>
        <v>#VALUE!</v>
      </c>
      <c r="R29" s="62" t="e">
        <f t="shared" si="7"/>
        <v>#VALUE!</v>
      </c>
      <c r="S29" s="62" t="e">
        <f t="shared" si="7"/>
        <v>#VALUE!</v>
      </c>
      <c r="T29" s="62" t="e">
        <f t="shared" si="7"/>
        <v>#VALUE!</v>
      </c>
      <c r="U29" s="62" t="e">
        <f t="shared" si="7"/>
        <v>#VALUE!</v>
      </c>
      <c r="V29" s="62" t="e">
        <f t="shared" si="7"/>
        <v>#VALUE!</v>
      </c>
      <c r="W29" s="62" t="e">
        <f t="shared" si="7"/>
        <v>#VALUE!</v>
      </c>
      <c r="X29" s="62" t="e">
        <f t="shared" si="7"/>
        <v>#VALUE!</v>
      </c>
      <c r="Y29" s="62" t="e">
        <f t="shared" si="7"/>
        <v>#VALUE!</v>
      </c>
      <c r="Z29" s="62" t="e">
        <f t="shared" si="7"/>
        <v>#VALUE!</v>
      </c>
      <c r="AA29" s="54" t="e">
        <f t="shared" si="8"/>
        <v>#VALUE!</v>
      </c>
      <c r="AB29" s="62" t="e">
        <f t="shared" si="8"/>
        <v>#VALUE!</v>
      </c>
      <c r="AC29" s="62" t="e">
        <f t="shared" si="8"/>
        <v>#VALUE!</v>
      </c>
      <c r="AD29" s="62" t="e">
        <f t="shared" si="8"/>
        <v>#VALUE!</v>
      </c>
      <c r="AE29" s="62" t="e">
        <f t="shared" si="8"/>
        <v>#VALUE!</v>
      </c>
      <c r="AF29" s="62" t="e">
        <f t="shared" si="8"/>
        <v>#VALUE!</v>
      </c>
      <c r="AG29" s="62" t="e">
        <f t="shared" si="8"/>
        <v>#VALUE!</v>
      </c>
      <c r="AH29" s="62" t="e">
        <f t="shared" si="8"/>
        <v>#VALUE!</v>
      </c>
      <c r="AI29" s="62" t="e">
        <f t="shared" si="8"/>
        <v>#VALUE!</v>
      </c>
      <c r="AJ29" s="62" t="e">
        <f t="shared" si="8"/>
        <v>#VALUE!</v>
      </c>
      <c r="AK29" s="54" t="e">
        <f t="shared" si="9"/>
        <v>#VALUE!</v>
      </c>
      <c r="AL29" s="54" t="e">
        <f t="shared" si="9"/>
        <v>#VALUE!</v>
      </c>
      <c r="AM29" s="54" t="e">
        <f t="shared" si="9"/>
        <v>#VALUE!</v>
      </c>
      <c r="AN29" s="54" t="e">
        <f t="shared" si="9"/>
        <v>#VALUE!</v>
      </c>
      <c r="AO29" s="54" t="e">
        <f t="shared" si="9"/>
        <v>#VALUE!</v>
      </c>
      <c r="AP29" s="54" t="e">
        <f t="shared" si="9"/>
        <v>#VALUE!</v>
      </c>
      <c r="AQ29" s="54" t="e">
        <f t="shared" si="9"/>
        <v>#VALUE!</v>
      </c>
      <c r="AR29" s="54" t="e">
        <f t="shared" si="9"/>
        <v>#VALUE!</v>
      </c>
      <c r="AS29" s="54" t="e">
        <f t="shared" si="9"/>
        <v>#VALUE!</v>
      </c>
      <c r="AT29" s="54" t="e">
        <f t="shared" si="9"/>
        <v>#VALUE!</v>
      </c>
      <c r="AU29" s="54" t="e">
        <f t="shared" si="10"/>
        <v>#VALUE!</v>
      </c>
      <c r="AV29" s="54" t="e">
        <f t="shared" si="10"/>
        <v>#VALUE!</v>
      </c>
      <c r="AW29" s="54" t="e">
        <f t="shared" si="10"/>
        <v>#VALUE!</v>
      </c>
      <c r="AX29" s="54" t="e">
        <f t="shared" si="10"/>
        <v>#VALUE!</v>
      </c>
      <c r="AY29" s="54" t="e">
        <f t="shared" si="10"/>
        <v>#VALUE!</v>
      </c>
      <c r="AZ29" s="54" t="e">
        <f t="shared" si="10"/>
        <v>#VALUE!</v>
      </c>
      <c r="BB29" s="57">
        <f t="shared" si="14"/>
        <v>158001</v>
      </c>
      <c r="BC29" s="57" t="s">
        <v>256</v>
      </c>
      <c r="BD29" s="57">
        <v>186000</v>
      </c>
      <c r="BE29" s="57" t="s">
        <v>253</v>
      </c>
      <c r="BF29" s="58">
        <v>5</v>
      </c>
      <c r="BH29" s="54" t="e">
        <f t="shared" si="11"/>
        <v>#VALUE!</v>
      </c>
      <c r="BI29" s="62" t="e">
        <f t="shared" si="11"/>
        <v>#VALUE!</v>
      </c>
      <c r="BJ29" s="62" t="e">
        <f t="shared" si="11"/>
        <v>#VALUE!</v>
      </c>
      <c r="BK29" s="62" t="e">
        <f t="shared" si="11"/>
        <v>#VALUE!</v>
      </c>
      <c r="BL29" s="62" t="e">
        <f t="shared" si="11"/>
        <v>#VALUE!</v>
      </c>
      <c r="BM29" s="62" t="e">
        <f t="shared" si="11"/>
        <v>#VALUE!</v>
      </c>
      <c r="BN29" s="62" t="e">
        <f t="shared" si="11"/>
        <v>#VALUE!</v>
      </c>
      <c r="BO29" s="62" t="e">
        <f t="shared" si="11"/>
        <v>#VALUE!</v>
      </c>
      <c r="BP29" s="62" t="e">
        <f t="shared" si="11"/>
        <v>#VALUE!</v>
      </c>
      <c r="BQ29" s="62" t="e">
        <f t="shared" si="11"/>
        <v>#VALUE!</v>
      </c>
      <c r="BR29" s="54" t="e">
        <f t="shared" si="11"/>
        <v>#VALUE!</v>
      </c>
      <c r="BS29" s="62" t="e">
        <f t="shared" si="11"/>
        <v>#VALUE!</v>
      </c>
      <c r="BT29" s="62" t="e">
        <f t="shared" si="11"/>
        <v>#VALUE!</v>
      </c>
      <c r="BU29" s="62" t="e">
        <f t="shared" si="11"/>
        <v>#VALUE!</v>
      </c>
      <c r="BV29" s="62" t="e">
        <f t="shared" si="11"/>
        <v>#VALUE!</v>
      </c>
      <c r="BW29" s="62" t="e">
        <f t="shared" si="11"/>
        <v>#VALUE!</v>
      </c>
      <c r="BX29" s="62" t="e">
        <f t="shared" si="12"/>
        <v>#VALUE!</v>
      </c>
      <c r="BY29" s="62" t="e">
        <f t="shared" si="12"/>
        <v>#VALUE!</v>
      </c>
      <c r="BZ29" s="62" t="e">
        <f t="shared" si="12"/>
        <v>#VALUE!</v>
      </c>
      <c r="CA29" s="62" t="e">
        <f t="shared" si="12"/>
        <v>#VALUE!</v>
      </c>
      <c r="CB29" s="54" t="e">
        <f t="shared" si="12"/>
        <v>#VALUE!</v>
      </c>
      <c r="CC29" s="62" t="e">
        <f t="shared" si="12"/>
        <v>#VALUE!</v>
      </c>
      <c r="CD29" s="62" t="e">
        <f t="shared" si="12"/>
        <v>#VALUE!</v>
      </c>
      <c r="CE29" s="62" t="e">
        <f t="shared" si="12"/>
        <v>#VALUE!</v>
      </c>
      <c r="CF29" s="62" t="e">
        <f t="shared" si="12"/>
        <v>#VALUE!</v>
      </c>
      <c r="CG29" s="62" t="e">
        <f t="shared" si="12"/>
        <v>#VALUE!</v>
      </c>
      <c r="CH29" s="62" t="e">
        <f t="shared" si="12"/>
        <v>#VALUE!</v>
      </c>
      <c r="CI29" s="62" t="e">
        <f t="shared" si="12"/>
        <v>#VALUE!</v>
      </c>
      <c r="CJ29" s="62" t="e">
        <f t="shared" si="12"/>
        <v>#VALUE!</v>
      </c>
      <c r="CK29" s="62" t="e">
        <f t="shared" si="12"/>
        <v>#VALUE!</v>
      </c>
      <c r="CL29" s="54" t="e">
        <f t="shared" si="12"/>
        <v>#VALUE!</v>
      </c>
      <c r="CM29" s="54" t="e">
        <f t="shared" si="12"/>
        <v>#VALUE!</v>
      </c>
      <c r="CN29" s="54" t="e">
        <f t="shared" si="13"/>
        <v>#VALUE!</v>
      </c>
      <c r="CO29" s="54" t="e">
        <f t="shared" si="13"/>
        <v>#VALUE!</v>
      </c>
      <c r="CP29" s="54" t="e">
        <f t="shared" si="13"/>
        <v>#VALUE!</v>
      </c>
      <c r="CQ29" s="54" t="e">
        <f t="shared" si="13"/>
        <v>#VALUE!</v>
      </c>
      <c r="CR29" s="54" t="e">
        <f t="shared" si="13"/>
        <v>#VALUE!</v>
      </c>
      <c r="CS29" s="54" t="e">
        <f t="shared" si="13"/>
        <v>#VALUE!</v>
      </c>
      <c r="CT29" s="54" t="e">
        <f t="shared" si="13"/>
        <v>#VALUE!</v>
      </c>
      <c r="CU29" s="54" t="e">
        <f t="shared" si="13"/>
        <v>#VALUE!</v>
      </c>
      <c r="CV29" s="54" t="e">
        <f t="shared" si="13"/>
        <v>#VALUE!</v>
      </c>
      <c r="CW29" s="54" t="e">
        <f t="shared" si="13"/>
        <v>#VALUE!</v>
      </c>
      <c r="CX29" s="54" t="e">
        <f t="shared" si="13"/>
        <v>#VALUE!</v>
      </c>
      <c r="CY29" s="54" t="e">
        <f t="shared" si="13"/>
        <v>#VALUE!</v>
      </c>
      <c r="CZ29" s="54" t="e">
        <f t="shared" si="13"/>
        <v>#VALUE!</v>
      </c>
      <c r="DA29" s="54" t="e">
        <f t="shared" si="13"/>
        <v>#VALUE!</v>
      </c>
      <c r="DC29" s="54" t="e">
        <f>SUM($BH29:BH29)</f>
        <v>#VALUE!</v>
      </c>
      <c r="DD29" s="62" t="e">
        <f>SUM($BH29:BI29)</f>
        <v>#VALUE!</v>
      </c>
      <c r="DE29" s="62" t="e">
        <f>SUM($BH29:BJ29)</f>
        <v>#VALUE!</v>
      </c>
      <c r="DF29" s="62" t="e">
        <f>SUM($BH29:BK29)</f>
        <v>#VALUE!</v>
      </c>
      <c r="DG29" s="62" t="e">
        <f>SUM($BH29:BL29)</f>
        <v>#VALUE!</v>
      </c>
      <c r="DH29" s="62" t="e">
        <f>SUM($BH29:BM29)</f>
        <v>#VALUE!</v>
      </c>
      <c r="DI29" s="62" t="e">
        <f>SUM($BH29:BN29)</f>
        <v>#VALUE!</v>
      </c>
      <c r="DJ29" s="62" t="e">
        <f>SUM($BH29:BO29)</f>
        <v>#VALUE!</v>
      </c>
      <c r="DK29" s="62" t="e">
        <f>SUM($BH29:BP29)</f>
        <v>#VALUE!</v>
      </c>
      <c r="DL29" s="62" t="e">
        <f>SUM($BH29:BQ29)</f>
        <v>#VALUE!</v>
      </c>
      <c r="DM29" s="54" t="e">
        <f>SUM($BH29:BR29)</f>
        <v>#VALUE!</v>
      </c>
      <c r="DN29" s="62" t="e">
        <f>SUM($BH29:BS29)</f>
        <v>#VALUE!</v>
      </c>
      <c r="DO29" s="62" t="e">
        <f>SUM($BH29:BT29)</f>
        <v>#VALUE!</v>
      </c>
      <c r="DP29" s="62" t="e">
        <f>SUM($BH29:BU29)</f>
        <v>#VALUE!</v>
      </c>
      <c r="DQ29" s="62" t="e">
        <f>SUM($BH29:BV29)</f>
        <v>#VALUE!</v>
      </c>
      <c r="DR29" s="62" t="e">
        <f>SUM($BH29:BW29)</f>
        <v>#VALUE!</v>
      </c>
      <c r="DS29" s="62" t="e">
        <f>SUM($BH29:BX29)</f>
        <v>#VALUE!</v>
      </c>
      <c r="DT29" s="62" t="e">
        <f>SUM($BH29:BY29)</f>
        <v>#VALUE!</v>
      </c>
      <c r="DU29" s="62" t="e">
        <f>SUM($BH29:BZ29)</f>
        <v>#VALUE!</v>
      </c>
      <c r="DV29" s="62" t="e">
        <f>SUM($BH29:CA29)</f>
        <v>#VALUE!</v>
      </c>
      <c r="DW29" s="54" t="e">
        <f>SUM($BH29:CB29)</f>
        <v>#VALUE!</v>
      </c>
      <c r="DX29" s="62" t="e">
        <f>SUM($BH29:CC29)</f>
        <v>#VALUE!</v>
      </c>
      <c r="DY29" s="62" t="e">
        <f>SUM($BH29:CD29)</f>
        <v>#VALUE!</v>
      </c>
      <c r="DZ29" s="62" t="e">
        <f>SUM($BH29:CE29)</f>
        <v>#VALUE!</v>
      </c>
      <c r="EA29" s="62" t="e">
        <f>SUM($BH29:CF29)</f>
        <v>#VALUE!</v>
      </c>
      <c r="EB29" s="62" t="e">
        <f>SUM($BH29:CG29)</f>
        <v>#VALUE!</v>
      </c>
      <c r="EC29" s="62" t="e">
        <f>SUM($BH29:CH29)</f>
        <v>#VALUE!</v>
      </c>
      <c r="ED29" s="62" t="e">
        <f>SUM($BH29:CI29)</f>
        <v>#VALUE!</v>
      </c>
      <c r="EE29" s="62" t="e">
        <f>SUM($BH29:CJ29)</f>
        <v>#VALUE!</v>
      </c>
      <c r="EF29" s="62" t="e">
        <f>SUM($BH29:CK29)</f>
        <v>#VALUE!</v>
      </c>
      <c r="EG29" s="54" t="e">
        <f>SUM($BH29:CL29)</f>
        <v>#VALUE!</v>
      </c>
      <c r="EH29" s="54" t="e">
        <f>SUM($BH29:CM29)</f>
        <v>#VALUE!</v>
      </c>
      <c r="EI29" s="54" t="e">
        <f>SUM($BH29:CN29)</f>
        <v>#VALUE!</v>
      </c>
      <c r="EJ29" s="54" t="e">
        <f>SUM($BH29:CO29)</f>
        <v>#VALUE!</v>
      </c>
      <c r="EK29" s="54" t="e">
        <f>SUM($BH29:CP29)</f>
        <v>#VALUE!</v>
      </c>
      <c r="EL29" s="54" t="e">
        <f>SUM($BH29:CQ29)</f>
        <v>#VALUE!</v>
      </c>
      <c r="EM29" s="54" t="e">
        <f>SUM($BH29:CR29)</f>
        <v>#VALUE!</v>
      </c>
      <c r="EN29" s="54" t="e">
        <f>SUM($BH29:CS29)</f>
        <v>#VALUE!</v>
      </c>
      <c r="EO29" s="54" t="e">
        <f>SUM($BH29:CT29)</f>
        <v>#VALUE!</v>
      </c>
      <c r="EP29" s="54" t="e">
        <f>SUM($BH29:CU29)</f>
        <v>#VALUE!</v>
      </c>
      <c r="EQ29" s="54" t="e">
        <f>SUM($BH29:CV29)</f>
        <v>#VALUE!</v>
      </c>
      <c r="ER29" s="54" t="e">
        <f>SUM($BH29:CW29)</f>
        <v>#VALUE!</v>
      </c>
      <c r="ES29" s="54" t="e">
        <f>SUM($BH29:CX29)</f>
        <v>#VALUE!</v>
      </c>
      <c r="ET29" s="54" t="e">
        <f>SUM($BH29:CY29)</f>
        <v>#VALUE!</v>
      </c>
      <c r="EU29" s="54" t="e">
        <f>SUM($BH29:CZ29)</f>
        <v>#VALUE!</v>
      </c>
      <c r="EV29" s="54" t="e">
        <f>SUM($BH29:DA29)</f>
        <v>#VALUE!</v>
      </c>
    </row>
    <row r="30" spans="2:152" ht="18.75" customHeight="1" x14ac:dyDescent="0.15">
      <c r="B30" s="59" t="str">
        <f ca="1">家賃シミュレーションシート!$AH70</f>
        <v/>
      </c>
      <c r="C30" s="60" t="s">
        <v>263</v>
      </c>
      <c r="D30" s="382" t="s">
        <v>264</v>
      </c>
      <c r="E30" s="383"/>
      <c r="F30" s="61">
        <v>67500</v>
      </c>
      <c r="G30" s="54" t="e">
        <f t="shared" si="6"/>
        <v>#VALUE!</v>
      </c>
      <c r="H30" s="62" t="e">
        <f t="shared" si="6"/>
        <v>#VALUE!</v>
      </c>
      <c r="I30" s="62" t="e">
        <f t="shared" si="6"/>
        <v>#VALUE!</v>
      </c>
      <c r="J30" s="62" t="e">
        <f t="shared" si="6"/>
        <v>#VALUE!</v>
      </c>
      <c r="K30" s="62" t="e">
        <f t="shared" si="6"/>
        <v>#VALUE!</v>
      </c>
      <c r="L30" s="62" t="e">
        <f t="shared" si="6"/>
        <v>#VALUE!</v>
      </c>
      <c r="M30" s="62" t="e">
        <f t="shared" si="6"/>
        <v>#VALUE!</v>
      </c>
      <c r="N30" s="62" t="e">
        <f t="shared" si="6"/>
        <v>#VALUE!</v>
      </c>
      <c r="O30" s="62" t="e">
        <f t="shared" si="6"/>
        <v>#VALUE!</v>
      </c>
      <c r="P30" s="62" t="e">
        <f t="shared" si="6"/>
        <v>#VALUE!</v>
      </c>
      <c r="Q30" s="54" t="e">
        <f t="shared" si="7"/>
        <v>#VALUE!</v>
      </c>
      <c r="R30" s="62" t="e">
        <f t="shared" si="7"/>
        <v>#VALUE!</v>
      </c>
      <c r="S30" s="62" t="e">
        <f t="shared" si="7"/>
        <v>#VALUE!</v>
      </c>
      <c r="T30" s="62" t="e">
        <f t="shared" si="7"/>
        <v>#VALUE!</v>
      </c>
      <c r="U30" s="62" t="e">
        <f t="shared" si="7"/>
        <v>#VALUE!</v>
      </c>
      <c r="V30" s="62" t="e">
        <f t="shared" si="7"/>
        <v>#VALUE!</v>
      </c>
      <c r="W30" s="62" t="e">
        <f t="shared" si="7"/>
        <v>#VALUE!</v>
      </c>
      <c r="X30" s="62" t="e">
        <f t="shared" si="7"/>
        <v>#VALUE!</v>
      </c>
      <c r="Y30" s="62" t="e">
        <f t="shared" si="7"/>
        <v>#VALUE!</v>
      </c>
      <c r="Z30" s="62" t="e">
        <f t="shared" si="7"/>
        <v>#VALUE!</v>
      </c>
      <c r="AA30" s="54" t="e">
        <f t="shared" si="8"/>
        <v>#VALUE!</v>
      </c>
      <c r="AB30" s="62" t="e">
        <f t="shared" si="8"/>
        <v>#VALUE!</v>
      </c>
      <c r="AC30" s="62" t="e">
        <f t="shared" si="8"/>
        <v>#VALUE!</v>
      </c>
      <c r="AD30" s="62" t="e">
        <f t="shared" si="8"/>
        <v>#VALUE!</v>
      </c>
      <c r="AE30" s="62" t="e">
        <f t="shared" si="8"/>
        <v>#VALUE!</v>
      </c>
      <c r="AF30" s="62" t="e">
        <f t="shared" si="8"/>
        <v>#VALUE!</v>
      </c>
      <c r="AG30" s="62" t="e">
        <f t="shared" si="8"/>
        <v>#VALUE!</v>
      </c>
      <c r="AH30" s="62" t="e">
        <f t="shared" si="8"/>
        <v>#VALUE!</v>
      </c>
      <c r="AI30" s="62" t="e">
        <f t="shared" si="8"/>
        <v>#VALUE!</v>
      </c>
      <c r="AJ30" s="62" t="e">
        <f t="shared" si="8"/>
        <v>#VALUE!</v>
      </c>
      <c r="AK30" s="54" t="e">
        <f t="shared" si="9"/>
        <v>#VALUE!</v>
      </c>
      <c r="AL30" s="54" t="e">
        <f t="shared" si="9"/>
        <v>#VALUE!</v>
      </c>
      <c r="AM30" s="54" t="e">
        <f t="shared" si="9"/>
        <v>#VALUE!</v>
      </c>
      <c r="AN30" s="54" t="e">
        <f t="shared" si="9"/>
        <v>#VALUE!</v>
      </c>
      <c r="AO30" s="54" t="e">
        <f t="shared" si="9"/>
        <v>#VALUE!</v>
      </c>
      <c r="AP30" s="54" t="e">
        <f t="shared" si="9"/>
        <v>#VALUE!</v>
      </c>
      <c r="AQ30" s="54" t="e">
        <f t="shared" si="9"/>
        <v>#VALUE!</v>
      </c>
      <c r="AR30" s="54" t="e">
        <f t="shared" si="9"/>
        <v>#VALUE!</v>
      </c>
      <c r="AS30" s="54" t="e">
        <f t="shared" si="9"/>
        <v>#VALUE!</v>
      </c>
      <c r="AT30" s="54" t="e">
        <f t="shared" si="9"/>
        <v>#VALUE!</v>
      </c>
      <c r="AU30" s="54" t="e">
        <f t="shared" si="10"/>
        <v>#VALUE!</v>
      </c>
      <c r="AV30" s="54" t="e">
        <f t="shared" si="10"/>
        <v>#VALUE!</v>
      </c>
      <c r="AW30" s="54" t="e">
        <f t="shared" si="10"/>
        <v>#VALUE!</v>
      </c>
      <c r="AX30" s="54" t="e">
        <f t="shared" si="10"/>
        <v>#VALUE!</v>
      </c>
      <c r="AY30" s="54" t="e">
        <f t="shared" si="10"/>
        <v>#VALUE!</v>
      </c>
      <c r="AZ30" s="54" t="e">
        <f t="shared" si="10"/>
        <v>#VALUE!</v>
      </c>
      <c r="BB30" s="57">
        <f t="shared" si="14"/>
        <v>186001</v>
      </c>
      <c r="BC30" s="57" t="s">
        <v>256</v>
      </c>
      <c r="BD30" s="57">
        <v>214000</v>
      </c>
      <c r="BE30" s="57" t="s">
        <v>253</v>
      </c>
      <c r="BF30" s="58">
        <v>6</v>
      </c>
      <c r="BH30" s="54" t="e">
        <f t="shared" si="11"/>
        <v>#VALUE!</v>
      </c>
      <c r="BI30" s="62" t="e">
        <f t="shared" si="11"/>
        <v>#VALUE!</v>
      </c>
      <c r="BJ30" s="62" t="e">
        <f t="shared" si="11"/>
        <v>#VALUE!</v>
      </c>
      <c r="BK30" s="62" t="e">
        <f t="shared" si="11"/>
        <v>#VALUE!</v>
      </c>
      <c r="BL30" s="62" t="e">
        <f t="shared" si="11"/>
        <v>#VALUE!</v>
      </c>
      <c r="BM30" s="62" t="e">
        <f t="shared" si="11"/>
        <v>#VALUE!</v>
      </c>
      <c r="BN30" s="62" t="e">
        <f t="shared" si="11"/>
        <v>#VALUE!</v>
      </c>
      <c r="BO30" s="62" t="e">
        <f t="shared" si="11"/>
        <v>#VALUE!</v>
      </c>
      <c r="BP30" s="62" t="e">
        <f t="shared" si="11"/>
        <v>#VALUE!</v>
      </c>
      <c r="BQ30" s="62" t="e">
        <f t="shared" si="11"/>
        <v>#VALUE!</v>
      </c>
      <c r="BR30" s="54" t="e">
        <f t="shared" si="11"/>
        <v>#VALUE!</v>
      </c>
      <c r="BS30" s="62" t="e">
        <f t="shared" si="11"/>
        <v>#VALUE!</v>
      </c>
      <c r="BT30" s="62" t="e">
        <f t="shared" si="11"/>
        <v>#VALUE!</v>
      </c>
      <c r="BU30" s="62" t="e">
        <f t="shared" si="11"/>
        <v>#VALUE!</v>
      </c>
      <c r="BV30" s="62" t="e">
        <f t="shared" si="11"/>
        <v>#VALUE!</v>
      </c>
      <c r="BW30" s="62" t="e">
        <f t="shared" si="11"/>
        <v>#VALUE!</v>
      </c>
      <c r="BX30" s="62" t="e">
        <f t="shared" si="12"/>
        <v>#VALUE!</v>
      </c>
      <c r="BY30" s="62" t="e">
        <f t="shared" si="12"/>
        <v>#VALUE!</v>
      </c>
      <c r="BZ30" s="62" t="e">
        <f t="shared" si="12"/>
        <v>#VALUE!</v>
      </c>
      <c r="CA30" s="62" t="e">
        <f t="shared" si="12"/>
        <v>#VALUE!</v>
      </c>
      <c r="CB30" s="54" t="e">
        <f t="shared" si="12"/>
        <v>#VALUE!</v>
      </c>
      <c r="CC30" s="62" t="e">
        <f t="shared" si="12"/>
        <v>#VALUE!</v>
      </c>
      <c r="CD30" s="62" t="e">
        <f t="shared" si="12"/>
        <v>#VALUE!</v>
      </c>
      <c r="CE30" s="62" t="e">
        <f t="shared" si="12"/>
        <v>#VALUE!</v>
      </c>
      <c r="CF30" s="62" t="e">
        <f t="shared" si="12"/>
        <v>#VALUE!</v>
      </c>
      <c r="CG30" s="62" t="e">
        <f t="shared" si="12"/>
        <v>#VALUE!</v>
      </c>
      <c r="CH30" s="62" t="e">
        <f t="shared" si="12"/>
        <v>#VALUE!</v>
      </c>
      <c r="CI30" s="62" t="e">
        <f t="shared" si="12"/>
        <v>#VALUE!</v>
      </c>
      <c r="CJ30" s="62" t="e">
        <f t="shared" si="12"/>
        <v>#VALUE!</v>
      </c>
      <c r="CK30" s="62" t="e">
        <f t="shared" si="12"/>
        <v>#VALUE!</v>
      </c>
      <c r="CL30" s="54" t="e">
        <f t="shared" si="12"/>
        <v>#VALUE!</v>
      </c>
      <c r="CM30" s="54" t="e">
        <f t="shared" si="12"/>
        <v>#VALUE!</v>
      </c>
      <c r="CN30" s="54" t="e">
        <f t="shared" si="13"/>
        <v>#VALUE!</v>
      </c>
      <c r="CO30" s="54" t="e">
        <f t="shared" si="13"/>
        <v>#VALUE!</v>
      </c>
      <c r="CP30" s="54" t="e">
        <f t="shared" si="13"/>
        <v>#VALUE!</v>
      </c>
      <c r="CQ30" s="54" t="e">
        <f t="shared" si="13"/>
        <v>#VALUE!</v>
      </c>
      <c r="CR30" s="54" t="e">
        <f t="shared" si="13"/>
        <v>#VALUE!</v>
      </c>
      <c r="CS30" s="54" t="e">
        <f t="shared" si="13"/>
        <v>#VALUE!</v>
      </c>
      <c r="CT30" s="54" t="e">
        <f t="shared" si="13"/>
        <v>#VALUE!</v>
      </c>
      <c r="CU30" s="54" t="e">
        <f t="shared" si="13"/>
        <v>#VALUE!</v>
      </c>
      <c r="CV30" s="54" t="e">
        <f t="shared" si="13"/>
        <v>#VALUE!</v>
      </c>
      <c r="CW30" s="54" t="e">
        <f t="shared" si="13"/>
        <v>#VALUE!</v>
      </c>
      <c r="CX30" s="54" t="e">
        <f t="shared" si="13"/>
        <v>#VALUE!</v>
      </c>
      <c r="CY30" s="54" t="e">
        <f t="shared" si="13"/>
        <v>#VALUE!</v>
      </c>
      <c r="CZ30" s="54" t="e">
        <f t="shared" si="13"/>
        <v>#VALUE!</v>
      </c>
      <c r="DA30" s="54" t="e">
        <f t="shared" si="13"/>
        <v>#VALUE!</v>
      </c>
      <c r="DC30" s="54" t="e">
        <f>SUM($BH30:BH30)</f>
        <v>#VALUE!</v>
      </c>
      <c r="DD30" s="62" t="e">
        <f>SUM($BH30:BI30)</f>
        <v>#VALUE!</v>
      </c>
      <c r="DE30" s="62" t="e">
        <f>SUM($BH30:BJ30)</f>
        <v>#VALUE!</v>
      </c>
      <c r="DF30" s="62" t="e">
        <f>SUM($BH30:BK30)</f>
        <v>#VALUE!</v>
      </c>
      <c r="DG30" s="62" t="e">
        <f>SUM($BH30:BL30)</f>
        <v>#VALUE!</v>
      </c>
      <c r="DH30" s="62" t="e">
        <f>SUM($BH30:BM30)</f>
        <v>#VALUE!</v>
      </c>
      <c r="DI30" s="62" t="e">
        <f>SUM($BH30:BN30)</f>
        <v>#VALUE!</v>
      </c>
      <c r="DJ30" s="62" t="e">
        <f>SUM($BH30:BO30)</f>
        <v>#VALUE!</v>
      </c>
      <c r="DK30" s="62" t="e">
        <f>SUM($BH30:BP30)</f>
        <v>#VALUE!</v>
      </c>
      <c r="DL30" s="62" t="e">
        <f>SUM($BH30:BQ30)</f>
        <v>#VALUE!</v>
      </c>
      <c r="DM30" s="54" t="e">
        <f>SUM($BH30:BR30)</f>
        <v>#VALUE!</v>
      </c>
      <c r="DN30" s="62" t="e">
        <f>SUM($BH30:BS30)</f>
        <v>#VALUE!</v>
      </c>
      <c r="DO30" s="62" t="e">
        <f>SUM($BH30:BT30)</f>
        <v>#VALUE!</v>
      </c>
      <c r="DP30" s="62" t="e">
        <f>SUM($BH30:BU30)</f>
        <v>#VALUE!</v>
      </c>
      <c r="DQ30" s="62" t="e">
        <f>SUM($BH30:BV30)</f>
        <v>#VALUE!</v>
      </c>
      <c r="DR30" s="62" t="e">
        <f>SUM($BH30:BW30)</f>
        <v>#VALUE!</v>
      </c>
      <c r="DS30" s="62" t="e">
        <f>SUM($BH30:BX30)</f>
        <v>#VALUE!</v>
      </c>
      <c r="DT30" s="62" t="e">
        <f>SUM($BH30:BY30)</f>
        <v>#VALUE!</v>
      </c>
      <c r="DU30" s="62" t="e">
        <f>SUM($BH30:BZ30)</f>
        <v>#VALUE!</v>
      </c>
      <c r="DV30" s="62" t="e">
        <f>SUM($BH30:CA30)</f>
        <v>#VALUE!</v>
      </c>
      <c r="DW30" s="54" t="e">
        <f>SUM($BH30:CB30)</f>
        <v>#VALUE!</v>
      </c>
      <c r="DX30" s="62" t="e">
        <f>SUM($BH30:CC30)</f>
        <v>#VALUE!</v>
      </c>
      <c r="DY30" s="62" t="e">
        <f>SUM($BH30:CD30)</f>
        <v>#VALUE!</v>
      </c>
      <c r="DZ30" s="62" t="e">
        <f>SUM($BH30:CE30)</f>
        <v>#VALUE!</v>
      </c>
      <c r="EA30" s="62" t="e">
        <f>SUM($BH30:CF30)</f>
        <v>#VALUE!</v>
      </c>
      <c r="EB30" s="62" t="e">
        <f>SUM($BH30:CG30)</f>
        <v>#VALUE!</v>
      </c>
      <c r="EC30" s="62" t="e">
        <f>SUM($BH30:CH30)</f>
        <v>#VALUE!</v>
      </c>
      <c r="ED30" s="62" t="e">
        <f>SUM($BH30:CI30)</f>
        <v>#VALUE!</v>
      </c>
      <c r="EE30" s="62" t="e">
        <f>SUM($BH30:CJ30)</f>
        <v>#VALUE!</v>
      </c>
      <c r="EF30" s="62" t="e">
        <f>SUM($BH30:CK30)</f>
        <v>#VALUE!</v>
      </c>
      <c r="EG30" s="54" t="e">
        <f>SUM($BH30:CL30)</f>
        <v>#VALUE!</v>
      </c>
      <c r="EH30" s="54" t="e">
        <f>SUM($BH30:CM30)</f>
        <v>#VALUE!</v>
      </c>
      <c r="EI30" s="54" t="e">
        <f>SUM($BH30:CN30)</f>
        <v>#VALUE!</v>
      </c>
      <c r="EJ30" s="54" t="e">
        <f>SUM($BH30:CO30)</f>
        <v>#VALUE!</v>
      </c>
      <c r="EK30" s="54" t="e">
        <f>SUM($BH30:CP30)</f>
        <v>#VALUE!</v>
      </c>
      <c r="EL30" s="54" t="e">
        <f>SUM($BH30:CQ30)</f>
        <v>#VALUE!</v>
      </c>
      <c r="EM30" s="54" t="e">
        <f>SUM($BH30:CR30)</f>
        <v>#VALUE!</v>
      </c>
      <c r="EN30" s="54" t="e">
        <f>SUM($BH30:CS30)</f>
        <v>#VALUE!</v>
      </c>
      <c r="EO30" s="54" t="e">
        <f>SUM($BH30:CT30)</f>
        <v>#VALUE!</v>
      </c>
      <c r="EP30" s="54" t="e">
        <f>SUM($BH30:CU30)</f>
        <v>#VALUE!</v>
      </c>
      <c r="EQ30" s="54" t="e">
        <f>SUM($BH30:CV30)</f>
        <v>#VALUE!</v>
      </c>
      <c r="ER30" s="54" t="e">
        <f>SUM($BH30:CW30)</f>
        <v>#VALUE!</v>
      </c>
      <c r="ES30" s="54" t="e">
        <f>SUM($BH30:CX30)</f>
        <v>#VALUE!</v>
      </c>
      <c r="ET30" s="54" t="e">
        <f>SUM($BH30:CY30)</f>
        <v>#VALUE!</v>
      </c>
      <c r="EU30" s="54" t="e">
        <f>SUM($BH30:CZ30)</f>
        <v>#VALUE!</v>
      </c>
      <c r="EV30" s="54" t="e">
        <f>SUM($BH30:DA30)</f>
        <v>#VALUE!</v>
      </c>
    </row>
    <row r="31" spans="2:152" ht="18.75" customHeight="1" x14ac:dyDescent="0.15">
      <c r="B31" s="59" t="str">
        <f ca="1">家賃シミュレーションシート!$AH71</f>
        <v/>
      </c>
      <c r="C31" s="64" t="s">
        <v>265</v>
      </c>
      <c r="D31" s="384" t="s">
        <v>266</v>
      </c>
      <c r="E31" s="383"/>
      <c r="F31" s="65">
        <v>79000</v>
      </c>
      <c r="G31" s="54" t="e">
        <f t="shared" si="6"/>
        <v>#VALUE!</v>
      </c>
      <c r="H31" s="62" t="e">
        <f t="shared" si="6"/>
        <v>#VALUE!</v>
      </c>
      <c r="I31" s="62" t="e">
        <f t="shared" si="6"/>
        <v>#VALUE!</v>
      </c>
      <c r="J31" s="62" t="e">
        <f t="shared" si="6"/>
        <v>#VALUE!</v>
      </c>
      <c r="K31" s="62" t="e">
        <f t="shared" si="6"/>
        <v>#VALUE!</v>
      </c>
      <c r="L31" s="62" t="e">
        <f t="shared" si="6"/>
        <v>#VALUE!</v>
      </c>
      <c r="M31" s="62" t="e">
        <f t="shared" si="6"/>
        <v>#VALUE!</v>
      </c>
      <c r="N31" s="62" t="e">
        <f t="shared" si="6"/>
        <v>#VALUE!</v>
      </c>
      <c r="O31" s="62" t="e">
        <f t="shared" si="6"/>
        <v>#VALUE!</v>
      </c>
      <c r="P31" s="62" t="e">
        <f t="shared" si="6"/>
        <v>#VALUE!</v>
      </c>
      <c r="Q31" s="54" t="e">
        <f t="shared" si="7"/>
        <v>#VALUE!</v>
      </c>
      <c r="R31" s="62" t="e">
        <f t="shared" si="7"/>
        <v>#VALUE!</v>
      </c>
      <c r="S31" s="62" t="e">
        <f t="shared" si="7"/>
        <v>#VALUE!</v>
      </c>
      <c r="T31" s="62" t="e">
        <f t="shared" si="7"/>
        <v>#VALUE!</v>
      </c>
      <c r="U31" s="62" t="e">
        <f t="shared" si="7"/>
        <v>#VALUE!</v>
      </c>
      <c r="V31" s="62" t="e">
        <f t="shared" si="7"/>
        <v>#VALUE!</v>
      </c>
      <c r="W31" s="62" t="e">
        <f t="shared" si="7"/>
        <v>#VALUE!</v>
      </c>
      <c r="X31" s="62" t="e">
        <f t="shared" si="7"/>
        <v>#VALUE!</v>
      </c>
      <c r="Y31" s="62" t="e">
        <f t="shared" si="7"/>
        <v>#VALUE!</v>
      </c>
      <c r="Z31" s="62" t="e">
        <f t="shared" si="7"/>
        <v>#VALUE!</v>
      </c>
      <c r="AA31" s="54" t="e">
        <f t="shared" si="8"/>
        <v>#VALUE!</v>
      </c>
      <c r="AB31" s="62" t="e">
        <f t="shared" si="8"/>
        <v>#VALUE!</v>
      </c>
      <c r="AC31" s="62" t="e">
        <f t="shared" si="8"/>
        <v>#VALUE!</v>
      </c>
      <c r="AD31" s="62" t="e">
        <f t="shared" si="8"/>
        <v>#VALUE!</v>
      </c>
      <c r="AE31" s="62" t="e">
        <f t="shared" si="8"/>
        <v>#VALUE!</v>
      </c>
      <c r="AF31" s="62" t="e">
        <f t="shared" si="8"/>
        <v>#VALUE!</v>
      </c>
      <c r="AG31" s="62" t="e">
        <f t="shared" si="8"/>
        <v>#VALUE!</v>
      </c>
      <c r="AH31" s="62" t="e">
        <f t="shared" si="8"/>
        <v>#VALUE!</v>
      </c>
      <c r="AI31" s="62" t="e">
        <f t="shared" si="8"/>
        <v>#VALUE!</v>
      </c>
      <c r="AJ31" s="62" t="e">
        <f t="shared" si="8"/>
        <v>#VALUE!</v>
      </c>
      <c r="AK31" s="54" t="e">
        <f t="shared" si="9"/>
        <v>#VALUE!</v>
      </c>
      <c r="AL31" s="54" t="e">
        <f t="shared" si="9"/>
        <v>#VALUE!</v>
      </c>
      <c r="AM31" s="54" t="e">
        <f t="shared" si="9"/>
        <v>#VALUE!</v>
      </c>
      <c r="AN31" s="54" t="e">
        <f t="shared" si="9"/>
        <v>#VALUE!</v>
      </c>
      <c r="AO31" s="54" t="e">
        <f t="shared" si="9"/>
        <v>#VALUE!</v>
      </c>
      <c r="AP31" s="54" t="e">
        <f t="shared" si="9"/>
        <v>#VALUE!</v>
      </c>
      <c r="AQ31" s="54" t="e">
        <f t="shared" si="9"/>
        <v>#VALUE!</v>
      </c>
      <c r="AR31" s="54" t="e">
        <f t="shared" si="9"/>
        <v>#VALUE!</v>
      </c>
      <c r="AS31" s="54" t="e">
        <f t="shared" si="9"/>
        <v>#VALUE!</v>
      </c>
      <c r="AT31" s="54" t="e">
        <f t="shared" si="9"/>
        <v>#VALUE!</v>
      </c>
      <c r="AU31" s="54" t="e">
        <f t="shared" si="10"/>
        <v>#VALUE!</v>
      </c>
      <c r="AV31" s="54" t="e">
        <f t="shared" si="10"/>
        <v>#VALUE!</v>
      </c>
      <c r="AW31" s="54" t="e">
        <f t="shared" si="10"/>
        <v>#VALUE!</v>
      </c>
      <c r="AX31" s="54" t="e">
        <f t="shared" si="10"/>
        <v>#VALUE!</v>
      </c>
      <c r="AY31" s="54" t="e">
        <f t="shared" si="10"/>
        <v>#VALUE!</v>
      </c>
      <c r="AZ31" s="54" t="e">
        <f t="shared" si="10"/>
        <v>#VALUE!</v>
      </c>
      <c r="BB31" s="57">
        <f t="shared" si="14"/>
        <v>214001</v>
      </c>
      <c r="BC31" s="57" t="s">
        <v>256</v>
      </c>
      <c r="BD31" s="57">
        <v>259000</v>
      </c>
      <c r="BE31" s="57" t="s">
        <v>253</v>
      </c>
      <c r="BF31" s="58">
        <v>7</v>
      </c>
      <c r="BH31" s="54" t="e">
        <f t="shared" si="11"/>
        <v>#VALUE!</v>
      </c>
      <c r="BI31" s="62" t="e">
        <f t="shared" si="11"/>
        <v>#VALUE!</v>
      </c>
      <c r="BJ31" s="62" t="e">
        <f t="shared" si="11"/>
        <v>#VALUE!</v>
      </c>
      <c r="BK31" s="62" t="e">
        <f t="shared" si="11"/>
        <v>#VALUE!</v>
      </c>
      <c r="BL31" s="62" t="e">
        <f t="shared" si="11"/>
        <v>#VALUE!</v>
      </c>
      <c r="BM31" s="62" t="e">
        <f t="shared" si="11"/>
        <v>#VALUE!</v>
      </c>
      <c r="BN31" s="62" t="e">
        <f t="shared" si="11"/>
        <v>#VALUE!</v>
      </c>
      <c r="BO31" s="62" t="e">
        <f t="shared" si="11"/>
        <v>#VALUE!</v>
      </c>
      <c r="BP31" s="62" t="e">
        <f t="shared" si="11"/>
        <v>#VALUE!</v>
      </c>
      <c r="BQ31" s="62" t="e">
        <f t="shared" si="11"/>
        <v>#VALUE!</v>
      </c>
      <c r="BR31" s="54" t="e">
        <f t="shared" si="11"/>
        <v>#VALUE!</v>
      </c>
      <c r="BS31" s="62" t="e">
        <f t="shared" si="11"/>
        <v>#VALUE!</v>
      </c>
      <c r="BT31" s="62" t="e">
        <f t="shared" si="11"/>
        <v>#VALUE!</v>
      </c>
      <c r="BU31" s="62" t="e">
        <f t="shared" si="11"/>
        <v>#VALUE!</v>
      </c>
      <c r="BV31" s="62" t="e">
        <f t="shared" si="11"/>
        <v>#VALUE!</v>
      </c>
      <c r="BW31" s="62" t="e">
        <f t="shared" si="11"/>
        <v>#VALUE!</v>
      </c>
      <c r="BX31" s="62" t="e">
        <f t="shared" si="12"/>
        <v>#VALUE!</v>
      </c>
      <c r="BY31" s="62" t="e">
        <f t="shared" si="12"/>
        <v>#VALUE!</v>
      </c>
      <c r="BZ31" s="62" t="e">
        <f t="shared" si="12"/>
        <v>#VALUE!</v>
      </c>
      <c r="CA31" s="62" t="e">
        <f t="shared" si="12"/>
        <v>#VALUE!</v>
      </c>
      <c r="CB31" s="54" t="e">
        <f t="shared" si="12"/>
        <v>#VALUE!</v>
      </c>
      <c r="CC31" s="62" t="e">
        <f t="shared" si="12"/>
        <v>#VALUE!</v>
      </c>
      <c r="CD31" s="62" t="e">
        <f t="shared" si="12"/>
        <v>#VALUE!</v>
      </c>
      <c r="CE31" s="62" t="e">
        <f t="shared" si="12"/>
        <v>#VALUE!</v>
      </c>
      <c r="CF31" s="62" t="e">
        <f t="shared" si="12"/>
        <v>#VALUE!</v>
      </c>
      <c r="CG31" s="62" t="e">
        <f t="shared" si="12"/>
        <v>#VALUE!</v>
      </c>
      <c r="CH31" s="62" t="e">
        <f t="shared" si="12"/>
        <v>#VALUE!</v>
      </c>
      <c r="CI31" s="62" t="e">
        <f t="shared" si="12"/>
        <v>#VALUE!</v>
      </c>
      <c r="CJ31" s="62" t="e">
        <f t="shared" si="12"/>
        <v>#VALUE!</v>
      </c>
      <c r="CK31" s="62" t="e">
        <f t="shared" si="12"/>
        <v>#VALUE!</v>
      </c>
      <c r="CL31" s="54" t="e">
        <f t="shared" si="12"/>
        <v>#VALUE!</v>
      </c>
      <c r="CM31" s="54" t="e">
        <f t="shared" si="12"/>
        <v>#VALUE!</v>
      </c>
      <c r="CN31" s="54" t="e">
        <f t="shared" si="13"/>
        <v>#VALUE!</v>
      </c>
      <c r="CO31" s="54" t="e">
        <f t="shared" si="13"/>
        <v>#VALUE!</v>
      </c>
      <c r="CP31" s="54" t="e">
        <f t="shared" si="13"/>
        <v>#VALUE!</v>
      </c>
      <c r="CQ31" s="54" t="e">
        <f t="shared" si="13"/>
        <v>#VALUE!</v>
      </c>
      <c r="CR31" s="54" t="e">
        <f t="shared" si="13"/>
        <v>#VALUE!</v>
      </c>
      <c r="CS31" s="54" t="e">
        <f t="shared" si="13"/>
        <v>#VALUE!</v>
      </c>
      <c r="CT31" s="54" t="e">
        <f t="shared" si="13"/>
        <v>#VALUE!</v>
      </c>
      <c r="CU31" s="54" t="e">
        <f t="shared" si="13"/>
        <v>#VALUE!</v>
      </c>
      <c r="CV31" s="54" t="e">
        <f t="shared" si="13"/>
        <v>#VALUE!</v>
      </c>
      <c r="CW31" s="54" t="e">
        <f t="shared" si="13"/>
        <v>#VALUE!</v>
      </c>
      <c r="CX31" s="54" t="e">
        <f t="shared" si="13"/>
        <v>#VALUE!</v>
      </c>
      <c r="CY31" s="54" t="e">
        <f t="shared" si="13"/>
        <v>#VALUE!</v>
      </c>
      <c r="CZ31" s="54" t="e">
        <f t="shared" si="13"/>
        <v>#VALUE!</v>
      </c>
      <c r="DA31" s="54" t="e">
        <f t="shared" si="13"/>
        <v>#VALUE!</v>
      </c>
      <c r="DC31" s="54" t="e">
        <f>SUM($BH31:BH31)</f>
        <v>#VALUE!</v>
      </c>
      <c r="DD31" s="62" t="e">
        <f>SUM($BH31:BI31)</f>
        <v>#VALUE!</v>
      </c>
      <c r="DE31" s="62" t="e">
        <f>SUM($BH31:BJ31)</f>
        <v>#VALUE!</v>
      </c>
      <c r="DF31" s="62" t="e">
        <f>SUM($BH31:BK31)</f>
        <v>#VALUE!</v>
      </c>
      <c r="DG31" s="62" t="e">
        <f>SUM($BH31:BL31)</f>
        <v>#VALUE!</v>
      </c>
      <c r="DH31" s="62" t="e">
        <f>SUM($BH31:BM31)</f>
        <v>#VALUE!</v>
      </c>
      <c r="DI31" s="62" t="e">
        <f>SUM($BH31:BN31)</f>
        <v>#VALUE!</v>
      </c>
      <c r="DJ31" s="62" t="e">
        <f>SUM($BH31:BO31)</f>
        <v>#VALUE!</v>
      </c>
      <c r="DK31" s="62" t="e">
        <f>SUM($BH31:BP31)</f>
        <v>#VALUE!</v>
      </c>
      <c r="DL31" s="62" t="e">
        <f>SUM($BH31:BQ31)</f>
        <v>#VALUE!</v>
      </c>
      <c r="DM31" s="54" t="e">
        <f>SUM($BH31:BR31)</f>
        <v>#VALUE!</v>
      </c>
      <c r="DN31" s="62" t="e">
        <f>SUM($BH31:BS31)</f>
        <v>#VALUE!</v>
      </c>
      <c r="DO31" s="62" t="e">
        <f>SUM($BH31:BT31)</f>
        <v>#VALUE!</v>
      </c>
      <c r="DP31" s="62" t="e">
        <f>SUM($BH31:BU31)</f>
        <v>#VALUE!</v>
      </c>
      <c r="DQ31" s="62" t="e">
        <f>SUM($BH31:BV31)</f>
        <v>#VALUE!</v>
      </c>
      <c r="DR31" s="62" t="e">
        <f>SUM($BH31:BW31)</f>
        <v>#VALUE!</v>
      </c>
      <c r="DS31" s="62" t="e">
        <f>SUM($BH31:BX31)</f>
        <v>#VALUE!</v>
      </c>
      <c r="DT31" s="62" t="e">
        <f>SUM($BH31:BY31)</f>
        <v>#VALUE!</v>
      </c>
      <c r="DU31" s="62" t="e">
        <f>SUM($BH31:BZ31)</f>
        <v>#VALUE!</v>
      </c>
      <c r="DV31" s="62" t="e">
        <f>SUM($BH31:CA31)</f>
        <v>#VALUE!</v>
      </c>
      <c r="DW31" s="54" t="e">
        <f>SUM($BH31:CB31)</f>
        <v>#VALUE!</v>
      </c>
      <c r="DX31" s="62" t="e">
        <f>SUM($BH31:CC31)</f>
        <v>#VALUE!</v>
      </c>
      <c r="DY31" s="62" t="e">
        <f>SUM($BH31:CD31)</f>
        <v>#VALUE!</v>
      </c>
      <c r="DZ31" s="62" t="e">
        <f>SUM($BH31:CE31)</f>
        <v>#VALUE!</v>
      </c>
      <c r="EA31" s="62" t="e">
        <f>SUM($BH31:CF31)</f>
        <v>#VALUE!</v>
      </c>
      <c r="EB31" s="62" t="e">
        <f>SUM($BH31:CG31)</f>
        <v>#VALUE!</v>
      </c>
      <c r="EC31" s="62" t="e">
        <f>SUM($BH31:CH31)</f>
        <v>#VALUE!</v>
      </c>
      <c r="ED31" s="62" t="e">
        <f>SUM($BH31:CI31)</f>
        <v>#VALUE!</v>
      </c>
      <c r="EE31" s="62" t="e">
        <f>SUM($BH31:CJ31)</f>
        <v>#VALUE!</v>
      </c>
      <c r="EF31" s="62" t="e">
        <f>SUM($BH31:CK31)</f>
        <v>#VALUE!</v>
      </c>
      <c r="EG31" s="54" t="e">
        <f>SUM($BH31:CL31)</f>
        <v>#VALUE!</v>
      </c>
      <c r="EH31" s="54" t="e">
        <f>SUM($BH31:CM31)</f>
        <v>#VALUE!</v>
      </c>
      <c r="EI31" s="54" t="e">
        <f>SUM($BH31:CN31)</f>
        <v>#VALUE!</v>
      </c>
      <c r="EJ31" s="54" t="e">
        <f>SUM($BH31:CO31)</f>
        <v>#VALUE!</v>
      </c>
      <c r="EK31" s="54" t="e">
        <f>SUM($BH31:CP31)</f>
        <v>#VALUE!</v>
      </c>
      <c r="EL31" s="54" t="e">
        <f>SUM($BH31:CQ31)</f>
        <v>#VALUE!</v>
      </c>
      <c r="EM31" s="54" t="e">
        <f>SUM($BH31:CR31)</f>
        <v>#VALUE!</v>
      </c>
      <c r="EN31" s="54" t="e">
        <f>SUM($BH31:CS31)</f>
        <v>#VALUE!</v>
      </c>
      <c r="EO31" s="54" t="e">
        <f>SUM($BH31:CT31)</f>
        <v>#VALUE!</v>
      </c>
      <c r="EP31" s="54" t="e">
        <f>SUM($BH31:CU31)</f>
        <v>#VALUE!</v>
      </c>
      <c r="EQ31" s="54" t="e">
        <f>SUM($BH31:CV31)</f>
        <v>#VALUE!</v>
      </c>
      <c r="ER31" s="54" t="e">
        <f>SUM($BH31:CW31)</f>
        <v>#VALUE!</v>
      </c>
      <c r="ES31" s="54" t="e">
        <f>SUM($BH31:CX31)</f>
        <v>#VALUE!</v>
      </c>
      <c r="ET31" s="54" t="e">
        <f>SUM($BH31:CY31)</f>
        <v>#VALUE!</v>
      </c>
      <c r="EU31" s="54" t="e">
        <f>SUM($BH31:CZ31)</f>
        <v>#VALUE!</v>
      </c>
      <c r="EV31" s="54" t="e">
        <f>SUM($BH31:DA31)</f>
        <v>#VALUE!</v>
      </c>
    </row>
    <row r="32" spans="2:152" ht="18.75" customHeight="1" x14ac:dyDescent="0.15">
      <c r="B32" s="66" t="str">
        <f ca="1">家賃シミュレーションシート!$AH72</f>
        <v/>
      </c>
      <c r="C32" s="67" t="s">
        <v>267</v>
      </c>
      <c r="D32" s="385" t="s">
        <v>268</v>
      </c>
      <c r="E32" s="386"/>
      <c r="F32" s="68">
        <v>91100</v>
      </c>
      <c r="G32" s="69" t="e">
        <f t="shared" si="6"/>
        <v>#VALUE!</v>
      </c>
      <c r="H32" s="70" t="e">
        <f t="shared" si="6"/>
        <v>#VALUE!</v>
      </c>
      <c r="I32" s="70" t="e">
        <f t="shared" si="6"/>
        <v>#VALUE!</v>
      </c>
      <c r="J32" s="70" t="e">
        <f t="shared" si="6"/>
        <v>#VALUE!</v>
      </c>
      <c r="K32" s="70" t="e">
        <f t="shared" si="6"/>
        <v>#VALUE!</v>
      </c>
      <c r="L32" s="70" t="e">
        <f t="shared" si="6"/>
        <v>#VALUE!</v>
      </c>
      <c r="M32" s="70" t="e">
        <f t="shared" si="6"/>
        <v>#VALUE!</v>
      </c>
      <c r="N32" s="70" t="e">
        <f t="shared" si="6"/>
        <v>#VALUE!</v>
      </c>
      <c r="O32" s="70" t="e">
        <f t="shared" si="6"/>
        <v>#VALUE!</v>
      </c>
      <c r="P32" s="70" t="e">
        <f t="shared" si="6"/>
        <v>#VALUE!</v>
      </c>
      <c r="Q32" s="69" t="e">
        <f t="shared" si="7"/>
        <v>#VALUE!</v>
      </c>
      <c r="R32" s="70" t="e">
        <f t="shared" si="7"/>
        <v>#VALUE!</v>
      </c>
      <c r="S32" s="70" t="e">
        <f t="shared" si="7"/>
        <v>#VALUE!</v>
      </c>
      <c r="T32" s="70" t="e">
        <f t="shared" si="7"/>
        <v>#VALUE!</v>
      </c>
      <c r="U32" s="70" t="e">
        <f t="shared" si="7"/>
        <v>#VALUE!</v>
      </c>
      <c r="V32" s="70" t="e">
        <f t="shared" si="7"/>
        <v>#VALUE!</v>
      </c>
      <c r="W32" s="70" t="e">
        <f t="shared" si="7"/>
        <v>#VALUE!</v>
      </c>
      <c r="X32" s="70" t="e">
        <f t="shared" si="7"/>
        <v>#VALUE!</v>
      </c>
      <c r="Y32" s="70" t="e">
        <f t="shared" si="7"/>
        <v>#VALUE!</v>
      </c>
      <c r="Z32" s="70" t="e">
        <f t="shared" si="7"/>
        <v>#VALUE!</v>
      </c>
      <c r="AA32" s="69" t="e">
        <f t="shared" si="8"/>
        <v>#VALUE!</v>
      </c>
      <c r="AB32" s="70" t="e">
        <f t="shared" si="8"/>
        <v>#VALUE!</v>
      </c>
      <c r="AC32" s="70" t="e">
        <f t="shared" si="8"/>
        <v>#VALUE!</v>
      </c>
      <c r="AD32" s="70" t="e">
        <f t="shared" si="8"/>
        <v>#VALUE!</v>
      </c>
      <c r="AE32" s="70" t="e">
        <f t="shared" si="8"/>
        <v>#VALUE!</v>
      </c>
      <c r="AF32" s="70" t="e">
        <f t="shared" si="8"/>
        <v>#VALUE!</v>
      </c>
      <c r="AG32" s="70" t="e">
        <f t="shared" si="8"/>
        <v>#VALUE!</v>
      </c>
      <c r="AH32" s="70" t="e">
        <f t="shared" si="8"/>
        <v>#VALUE!</v>
      </c>
      <c r="AI32" s="70" t="e">
        <f t="shared" si="8"/>
        <v>#VALUE!</v>
      </c>
      <c r="AJ32" s="70" t="e">
        <f t="shared" si="8"/>
        <v>#VALUE!</v>
      </c>
      <c r="AK32" s="69" t="e">
        <f t="shared" si="9"/>
        <v>#VALUE!</v>
      </c>
      <c r="AL32" s="69" t="e">
        <f t="shared" si="9"/>
        <v>#VALUE!</v>
      </c>
      <c r="AM32" s="69" t="e">
        <f t="shared" si="9"/>
        <v>#VALUE!</v>
      </c>
      <c r="AN32" s="69" t="e">
        <f t="shared" si="9"/>
        <v>#VALUE!</v>
      </c>
      <c r="AO32" s="69" t="e">
        <f t="shared" si="9"/>
        <v>#VALUE!</v>
      </c>
      <c r="AP32" s="69" t="e">
        <f t="shared" si="9"/>
        <v>#VALUE!</v>
      </c>
      <c r="AQ32" s="69" t="e">
        <f t="shared" si="9"/>
        <v>#VALUE!</v>
      </c>
      <c r="AR32" s="69" t="e">
        <f t="shared" si="9"/>
        <v>#VALUE!</v>
      </c>
      <c r="AS32" s="69" t="e">
        <f t="shared" si="9"/>
        <v>#VALUE!</v>
      </c>
      <c r="AT32" s="69" t="e">
        <f t="shared" si="9"/>
        <v>#VALUE!</v>
      </c>
      <c r="AU32" s="69" t="e">
        <f t="shared" si="10"/>
        <v>#VALUE!</v>
      </c>
      <c r="AV32" s="69" t="e">
        <f t="shared" si="10"/>
        <v>#VALUE!</v>
      </c>
      <c r="AW32" s="69" t="e">
        <f t="shared" si="10"/>
        <v>#VALUE!</v>
      </c>
      <c r="AX32" s="69" t="e">
        <f t="shared" si="10"/>
        <v>#VALUE!</v>
      </c>
      <c r="AY32" s="69" t="e">
        <f t="shared" si="10"/>
        <v>#VALUE!</v>
      </c>
      <c r="AZ32" s="69" t="e">
        <f t="shared" si="10"/>
        <v>#VALUE!</v>
      </c>
      <c r="BB32" s="57">
        <f t="shared" si="14"/>
        <v>259001</v>
      </c>
      <c r="BC32" s="57" t="s">
        <v>256</v>
      </c>
      <c r="BD32" s="57"/>
      <c r="BE32" s="57"/>
      <c r="BF32" s="58">
        <v>8</v>
      </c>
      <c r="BH32" s="69" t="e">
        <f t="shared" si="11"/>
        <v>#VALUE!</v>
      </c>
      <c r="BI32" s="70" t="e">
        <f t="shared" si="11"/>
        <v>#VALUE!</v>
      </c>
      <c r="BJ32" s="70" t="e">
        <f t="shared" si="11"/>
        <v>#VALUE!</v>
      </c>
      <c r="BK32" s="70" t="e">
        <f t="shared" si="11"/>
        <v>#VALUE!</v>
      </c>
      <c r="BL32" s="70" t="e">
        <f t="shared" si="11"/>
        <v>#VALUE!</v>
      </c>
      <c r="BM32" s="70" t="e">
        <f t="shared" si="11"/>
        <v>#VALUE!</v>
      </c>
      <c r="BN32" s="70" t="e">
        <f t="shared" si="11"/>
        <v>#VALUE!</v>
      </c>
      <c r="BO32" s="70" t="e">
        <f t="shared" si="11"/>
        <v>#VALUE!</v>
      </c>
      <c r="BP32" s="70" t="e">
        <f t="shared" si="11"/>
        <v>#VALUE!</v>
      </c>
      <c r="BQ32" s="70" t="e">
        <f t="shared" si="11"/>
        <v>#VALUE!</v>
      </c>
      <c r="BR32" s="69" t="e">
        <f t="shared" si="11"/>
        <v>#VALUE!</v>
      </c>
      <c r="BS32" s="70" t="e">
        <f t="shared" si="11"/>
        <v>#VALUE!</v>
      </c>
      <c r="BT32" s="70" t="e">
        <f t="shared" si="11"/>
        <v>#VALUE!</v>
      </c>
      <c r="BU32" s="70" t="e">
        <f t="shared" si="11"/>
        <v>#VALUE!</v>
      </c>
      <c r="BV32" s="70" t="e">
        <f t="shared" si="11"/>
        <v>#VALUE!</v>
      </c>
      <c r="BW32" s="70" t="e">
        <f t="shared" si="11"/>
        <v>#VALUE!</v>
      </c>
      <c r="BX32" s="70" t="e">
        <f t="shared" si="12"/>
        <v>#VALUE!</v>
      </c>
      <c r="BY32" s="70" t="e">
        <f t="shared" si="12"/>
        <v>#VALUE!</v>
      </c>
      <c r="BZ32" s="70" t="e">
        <f t="shared" si="12"/>
        <v>#VALUE!</v>
      </c>
      <c r="CA32" s="70" t="e">
        <f t="shared" si="12"/>
        <v>#VALUE!</v>
      </c>
      <c r="CB32" s="69" t="e">
        <f t="shared" si="12"/>
        <v>#VALUE!</v>
      </c>
      <c r="CC32" s="70" t="e">
        <f t="shared" si="12"/>
        <v>#VALUE!</v>
      </c>
      <c r="CD32" s="70" t="e">
        <f t="shared" si="12"/>
        <v>#VALUE!</v>
      </c>
      <c r="CE32" s="70" t="e">
        <f t="shared" si="12"/>
        <v>#VALUE!</v>
      </c>
      <c r="CF32" s="70" t="e">
        <f t="shared" si="12"/>
        <v>#VALUE!</v>
      </c>
      <c r="CG32" s="70" t="e">
        <f t="shared" si="12"/>
        <v>#VALUE!</v>
      </c>
      <c r="CH32" s="70" t="e">
        <f t="shared" si="12"/>
        <v>#VALUE!</v>
      </c>
      <c r="CI32" s="70" t="e">
        <f t="shared" si="12"/>
        <v>#VALUE!</v>
      </c>
      <c r="CJ32" s="70" t="e">
        <f t="shared" si="12"/>
        <v>#VALUE!</v>
      </c>
      <c r="CK32" s="70" t="e">
        <f t="shared" si="12"/>
        <v>#VALUE!</v>
      </c>
      <c r="CL32" s="69" t="e">
        <f t="shared" si="12"/>
        <v>#VALUE!</v>
      </c>
      <c r="CM32" s="69" t="e">
        <f t="shared" si="12"/>
        <v>#VALUE!</v>
      </c>
      <c r="CN32" s="69" t="e">
        <f t="shared" si="13"/>
        <v>#VALUE!</v>
      </c>
      <c r="CO32" s="69" t="e">
        <f t="shared" si="13"/>
        <v>#VALUE!</v>
      </c>
      <c r="CP32" s="69" t="e">
        <f t="shared" si="13"/>
        <v>#VALUE!</v>
      </c>
      <c r="CQ32" s="69" t="e">
        <f t="shared" si="13"/>
        <v>#VALUE!</v>
      </c>
      <c r="CR32" s="69" t="e">
        <f t="shared" si="13"/>
        <v>#VALUE!</v>
      </c>
      <c r="CS32" s="69" t="e">
        <f t="shared" si="13"/>
        <v>#VALUE!</v>
      </c>
      <c r="CT32" s="69" t="e">
        <f t="shared" si="13"/>
        <v>#VALUE!</v>
      </c>
      <c r="CU32" s="69" t="e">
        <f t="shared" si="13"/>
        <v>#VALUE!</v>
      </c>
      <c r="CV32" s="69" t="e">
        <f t="shared" si="13"/>
        <v>#VALUE!</v>
      </c>
      <c r="CW32" s="69" t="e">
        <f t="shared" si="13"/>
        <v>#VALUE!</v>
      </c>
      <c r="CX32" s="69" t="e">
        <f t="shared" si="13"/>
        <v>#VALUE!</v>
      </c>
      <c r="CY32" s="69" t="e">
        <f t="shared" si="13"/>
        <v>#VALUE!</v>
      </c>
      <c r="CZ32" s="69" t="e">
        <f t="shared" si="13"/>
        <v>#VALUE!</v>
      </c>
      <c r="DA32" s="69" t="e">
        <f t="shared" si="13"/>
        <v>#VALUE!</v>
      </c>
      <c r="DC32" s="69" t="e">
        <f>SUM($BH32:BH32)</f>
        <v>#VALUE!</v>
      </c>
      <c r="DD32" s="70" t="e">
        <f>SUM($BH32:BI32)</f>
        <v>#VALUE!</v>
      </c>
      <c r="DE32" s="70" t="e">
        <f>SUM($BH32:BJ32)</f>
        <v>#VALUE!</v>
      </c>
      <c r="DF32" s="70" t="e">
        <f>SUM($BH32:BK32)</f>
        <v>#VALUE!</v>
      </c>
      <c r="DG32" s="70" t="e">
        <f>SUM($BH32:BL32)</f>
        <v>#VALUE!</v>
      </c>
      <c r="DH32" s="70" t="e">
        <f>SUM($BH32:BM32)</f>
        <v>#VALUE!</v>
      </c>
      <c r="DI32" s="70" t="e">
        <f>SUM($BH32:BN32)</f>
        <v>#VALUE!</v>
      </c>
      <c r="DJ32" s="70" t="e">
        <f>SUM($BH32:BO32)</f>
        <v>#VALUE!</v>
      </c>
      <c r="DK32" s="70" t="e">
        <f>SUM($BH32:BP32)</f>
        <v>#VALUE!</v>
      </c>
      <c r="DL32" s="70" t="e">
        <f>SUM($BH32:BQ32)</f>
        <v>#VALUE!</v>
      </c>
      <c r="DM32" s="69" t="e">
        <f>SUM($BH32:BR32)</f>
        <v>#VALUE!</v>
      </c>
      <c r="DN32" s="70" t="e">
        <f>SUM($BH32:BS32)</f>
        <v>#VALUE!</v>
      </c>
      <c r="DO32" s="70" t="e">
        <f>SUM($BH32:BT32)</f>
        <v>#VALUE!</v>
      </c>
      <c r="DP32" s="70" t="e">
        <f>SUM($BH32:BU32)</f>
        <v>#VALUE!</v>
      </c>
      <c r="DQ32" s="70" t="e">
        <f>SUM($BH32:BV32)</f>
        <v>#VALUE!</v>
      </c>
      <c r="DR32" s="70" t="e">
        <f>SUM($BH32:BW32)</f>
        <v>#VALUE!</v>
      </c>
      <c r="DS32" s="70" t="e">
        <f>SUM($BH32:BX32)</f>
        <v>#VALUE!</v>
      </c>
      <c r="DT32" s="70" t="e">
        <f>SUM($BH32:BY32)</f>
        <v>#VALUE!</v>
      </c>
      <c r="DU32" s="70" t="e">
        <f>SUM($BH32:BZ32)</f>
        <v>#VALUE!</v>
      </c>
      <c r="DV32" s="70" t="e">
        <f>SUM($BH32:CA32)</f>
        <v>#VALUE!</v>
      </c>
      <c r="DW32" s="69" t="e">
        <f>SUM($BH32:CB32)</f>
        <v>#VALUE!</v>
      </c>
      <c r="DX32" s="70" t="e">
        <f>SUM($BH32:CC32)</f>
        <v>#VALUE!</v>
      </c>
      <c r="DY32" s="70" t="e">
        <f>SUM($BH32:CD32)</f>
        <v>#VALUE!</v>
      </c>
      <c r="DZ32" s="70" t="e">
        <f>SUM($BH32:CE32)</f>
        <v>#VALUE!</v>
      </c>
      <c r="EA32" s="70" t="e">
        <f>SUM($BH32:CF32)</f>
        <v>#VALUE!</v>
      </c>
      <c r="EB32" s="70" t="e">
        <f>SUM($BH32:CG32)</f>
        <v>#VALUE!</v>
      </c>
      <c r="EC32" s="70" t="e">
        <f>SUM($BH32:CH32)</f>
        <v>#VALUE!</v>
      </c>
      <c r="ED32" s="70" t="e">
        <f>SUM($BH32:CI32)</f>
        <v>#VALUE!</v>
      </c>
      <c r="EE32" s="70" t="e">
        <f>SUM($BH32:CJ32)</f>
        <v>#VALUE!</v>
      </c>
      <c r="EF32" s="70" t="e">
        <f>SUM($BH32:CK32)</f>
        <v>#VALUE!</v>
      </c>
      <c r="EG32" s="69" t="e">
        <f>SUM($BH32:CL32)</f>
        <v>#VALUE!</v>
      </c>
      <c r="EH32" s="69" t="e">
        <f>SUM($BH32:CM32)</f>
        <v>#VALUE!</v>
      </c>
      <c r="EI32" s="69" t="e">
        <f>SUM($BH32:CN32)</f>
        <v>#VALUE!</v>
      </c>
      <c r="EJ32" s="69" t="e">
        <f>SUM($BH32:CO32)</f>
        <v>#VALUE!</v>
      </c>
      <c r="EK32" s="69" t="e">
        <f>SUM($BH32:CP32)</f>
        <v>#VALUE!</v>
      </c>
      <c r="EL32" s="69" t="e">
        <f>SUM($BH32:CQ32)</f>
        <v>#VALUE!</v>
      </c>
      <c r="EM32" s="69" t="e">
        <f>SUM($BH32:CR32)</f>
        <v>#VALUE!</v>
      </c>
      <c r="EN32" s="69" t="e">
        <f>SUM($BH32:CS32)</f>
        <v>#VALUE!</v>
      </c>
      <c r="EO32" s="69" t="e">
        <f>SUM($BH32:CT32)</f>
        <v>#VALUE!</v>
      </c>
      <c r="EP32" s="69" t="e">
        <f>SUM($BH32:CU32)</f>
        <v>#VALUE!</v>
      </c>
      <c r="EQ32" s="69" t="e">
        <f>SUM($BH32:CV32)</f>
        <v>#VALUE!</v>
      </c>
      <c r="ER32" s="69" t="e">
        <f>SUM($BH32:CW32)</f>
        <v>#VALUE!</v>
      </c>
      <c r="ES32" s="69" t="e">
        <f>SUM($BH32:CX32)</f>
        <v>#VALUE!</v>
      </c>
      <c r="ET32" s="69" t="e">
        <f>SUM($BH32:CY32)</f>
        <v>#VALUE!</v>
      </c>
      <c r="EU32" s="69" t="e">
        <f>SUM($BH32:CZ32)</f>
        <v>#VALUE!</v>
      </c>
      <c r="EV32" s="69" t="e">
        <f>SUM($BH32:DA32)</f>
        <v>#VALUE!</v>
      </c>
    </row>
    <row r="33" spans="2:152" ht="18.75" customHeight="1" x14ac:dyDescent="0.15">
      <c r="B33" s="71"/>
      <c r="C33" s="72"/>
      <c r="D33" s="72"/>
      <c r="E33" s="73"/>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B33" s="75"/>
      <c r="BC33" s="75"/>
      <c r="BD33" s="75"/>
      <c r="BE33" s="75"/>
      <c r="BH33" s="74"/>
      <c r="BI33" s="74"/>
      <c r="BJ33" s="74"/>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c r="EN33" s="74"/>
      <c r="EO33" s="74"/>
      <c r="EP33" s="74"/>
      <c r="EQ33" s="74"/>
      <c r="ER33" s="74"/>
      <c r="ES33" s="74"/>
      <c r="ET33" s="74"/>
      <c r="EU33" s="74"/>
      <c r="EV33" s="74"/>
    </row>
    <row r="34" spans="2:152" ht="18.75" customHeight="1" x14ac:dyDescent="0.15">
      <c r="B34" s="143" t="s">
        <v>448</v>
      </c>
      <c r="C34" s="72"/>
      <c r="D34" s="72"/>
      <c r="E34" s="73"/>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B34" s="75"/>
      <c r="BC34" s="75"/>
      <c r="BD34" s="75"/>
      <c r="BE34" s="75"/>
      <c r="BH34" s="74"/>
      <c r="BI34" s="74"/>
      <c r="BJ34" s="74"/>
      <c r="BK34" s="74"/>
      <c r="BL34" s="74"/>
      <c r="BM34" s="74"/>
      <c r="BN34" s="74"/>
      <c r="BO34" s="74"/>
      <c r="BP34" s="74"/>
      <c r="BQ34" s="74"/>
      <c r="BR34" s="74"/>
      <c r="BS34" s="74"/>
      <c r="BT34" s="74"/>
      <c r="BU34" s="74"/>
      <c r="BV34" s="74"/>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C34" s="74"/>
      <c r="DD34" s="74"/>
      <c r="DE34" s="74"/>
      <c r="DF34" s="74"/>
      <c r="DG34" s="74"/>
      <c r="DH34" s="74"/>
      <c r="DI34" s="74"/>
      <c r="DJ34" s="74"/>
      <c r="DK34" s="74"/>
      <c r="DL34" s="74"/>
      <c r="DM34" s="74"/>
      <c r="DN34" s="74"/>
      <c r="DO34" s="74"/>
      <c r="DP34" s="74"/>
      <c r="DQ34" s="74"/>
      <c r="DR34" s="74"/>
      <c r="DS34" s="74"/>
      <c r="DT34" s="74"/>
      <c r="DU34" s="74"/>
      <c r="DV34" s="74"/>
      <c r="DW34" s="74"/>
      <c r="DX34" s="74"/>
      <c r="DY34" s="74"/>
      <c r="DZ34" s="74"/>
      <c r="EA34" s="74"/>
      <c r="EB34" s="74"/>
      <c r="EC34" s="74"/>
      <c r="ED34" s="74"/>
      <c r="EE34" s="74"/>
      <c r="EF34" s="74"/>
      <c r="EG34" s="74"/>
      <c r="EH34" s="74"/>
      <c r="EI34" s="74"/>
      <c r="EJ34" s="74"/>
      <c r="EK34" s="74"/>
      <c r="EL34" s="74"/>
      <c r="EM34" s="74"/>
      <c r="EN34" s="74"/>
      <c r="EO34" s="74"/>
      <c r="EP34" s="74"/>
      <c r="EQ34" s="74"/>
      <c r="ER34" s="74"/>
      <c r="ES34" s="74"/>
      <c r="ET34" s="74"/>
      <c r="EU34" s="74"/>
      <c r="EV34" s="74"/>
    </row>
    <row r="35" spans="2:152" ht="18.75" customHeight="1" x14ac:dyDescent="0.15">
      <c r="B35" s="31"/>
      <c r="C35" s="30" t="s">
        <v>278</v>
      </c>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row>
    <row r="36" spans="2:152" ht="18.75" customHeight="1" x14ac:dyDescent="0.15">
      <c r="C36" s="76" t="s">
        <v>279</v>
      </c>
      <c r="D36" s="77">
        <v>1</v>
      </c>
    </row>
    <row r="37" spans="2:152" ht="18.75" customHeight="1" x14ac:dyDescent="0.15">
      <c r="C37" s="76" t="s">
        <v>280</v>
      </c>
      <c r="D37" s="77">
        <v>0.85</v>
      </c>
    </row>
    <row r="38" spans="2:152" ht="18.75" customHeight="1" x14ac:dyDescent="0.15">
      <c r="C38" s="76" t="s">
        <v>281</v>
      </c>
      <c r="D38" s="77">
        <v>0.8</v>
      </c>
    </row>
    <row r="39" spans="2:152" ht="18.75" customHeight="1" x14ac:dyDescent="0.15">
      <c r="C39" s="76" t="s">
        <v>282</v>
      </c>
      <c r="D39" s="77">
        <v>0.75</v>
      </c>
    </row>
    <row r="40" spans="2:152" ht="18.75" customHeight="1" x14ac:dyDescent="0.15">
      <c r="C40" s="76" t="s">
        <v>283</v>
      </c>
      <c r="D40" s="78">
        <v>0.7</v>
      </c>
    </row>
    <row r="41" spans="2:152" ht="18.75" customHeight="1" x14ac:dyDescent="0.15"/>
    <row r="42" spans="2:152" ht="18.75" customHeight="1" x14ac:dyDescent="0.15">
      <c r="B42" s="31"/>
      <c r="C42" s="30" t="s">
        <v>284</v>
      </c>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c r="EO42" s="31"/>
      <c r="EP42" s="31"/>
      <c r="EQ42" s="31"/>
      <c r="ER42" s="31"/>
      <c r="ES42" s="31"/>
      <c r="ET42" s="31"/>
      <c r="EU42" s="31"/>
      <c r="EV42" s="31"/>
    </row>
    <row r="43" spans="2:152" ht="18.75" customHeight="1" x14ac:dyDescent="0.15">
      <c r="C43" s="79" t="s">
        <v>212</v>
      </c>
      <c r="D43" s="80">
        <v>3.8999999999999998E-3</v>
      </c>
    </row>
    <row r="44" spans="2:152" ht="18.75" customHeight="1" x14ac:dyDescent="0.15">
      <c r="C44" s="79" t="s">
        <v>213</v>
      </c>
      <c r="D44" s="38">
        <v>8.6999999999999994E-3</v>
      </c>
    </row>
    <row r="45" spans="2:152" ht="18.75" customHeight="1" x14ac:dyDescent="0.15"/>
    <row r="46" spans="2:152" ht="18.75" customHeight="1" x14ac:dyDescent="0.15">
      <c r="B46" s="81" t="s">
        <v>285</v>
      </c>
      <c r="C46" s="81"/>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row>
    <row r="47" spans="2:152" ht="18.75" customHeight="1" x14ac:dyDescent="0.15">
      <c r="B47" s="128" t="s">
        <v>362</v>
      </c>
      <c r="D47" s="83"/>
      <c r="E47" s="83"/>
      <c r="F47" s="83"/>
      <c r="G47" s="83"/>
      <c r="H47" s="83"/>
    </row>
    <row r="48" spans="2:152" ht="18.75" hidden="1" customHeight="1" x14ac:dyDescent="0.15">
      <c r="C48" s="37" t="s">
        <v>340</v>
      </c>
      <c r="D48" s="84">
        <f>D15*1.25</f>
        <v>0</v>
      </c>
      <c r="E48" s="36" t="s">
        <v>313</v>
      </c>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row>
    <row r="49" spans="2:18" ht="18.75" hidden="1" customHeight="1" x14ac:dyDescent="0.15">
      <c r="C49" s="37" t="s">
        <v>314</v>
      </c>
      <c r="D49" s="86">
        <v>20210</v>
      </c>
      <c r="E49" s="376" t="s">
        <v>315</v>
      </c>
      <c r="F49" s="377"/>
      <c r="G49" s="377"/>
      <c r="H49" s="377"/>
    </row>
    <row r="50" spans="2:18" ht="18.75" hidden="1" customHeight="1" x14ac:dyDescent="0.15">
      <c r="C50" s="37" t="s">
        <v>316</v>
      </c>
      <c r="D50" s="87">
        <v>74.7</v>
      </c>
      <c r="E50" s="34"/>
      <c r="F50" s="34"/>
      <c r="G50" s="34"/>
      <c r="H50" s="88"/>
    </row>
    <row r="51" spans="2:18" ht="18.75" hidden="1" customHeight="1" x14ac:dyDescent="0.15">
      <c r="C51" s="34"/>
      <c r="D51" s="89"/>
      <c r="E51" s="34"/>
      <c r="F51" s="34"/>
      <c r="G51" s="34"/>
      <c r="H51" s="34"/>
      <c r="K51" s="24"/>
    </row>
    <row r="52" spans="2:18" ht="18.75" hidden="1" customHeight="1" x14ac:dyDescent="0.15">
      <c r="C52" s="37" t="s">
        <v>317</v>
      </c>
      <c r="D52" s="90">
        <f>IF(D49*(D48+44)/(D50+44)&gt;D49,D49,D49*(D48+44)/(D50+44))</f>
        <v>7491.4911541701767</v>
      </c>
      <c r="E52" s="36"/>
      <c r="F52" s="26"/>
      <c r="G52" s="26"/>
      <c r="H52" s="26"/>
      <c r="K52" s="91"/>
      <c r="L52" s="91"/>
      <c r="M52" s="91"/>
      <c r="N52" s="91"/>
      <c r="O52" s="91"/>
      <c r="P52" s="91"/>
      <c r="Q52" s="92"/>
      <c r="R52" s="24"/>
    </row>
    <row r="53" spans="2:18" ht="18.75" hidden="1" customHeight="1" x14ac:dyDescent="0.15">
      <c r="C53" s="37" t="s">
        <v>318</v>
      </c>
      <c r="D53" s="93">
        <v>4000</v>
      </c>
      <c r="E53" s="26" t="s">
        <v>319</v>
      </c>
      <c r="F53" s="26"/>
      <c r="G53" s="26"/>
      <c r="H53" s="26"/>
      <c r="K53" s="130"/>
      <c r="L53" s="130"/>
      <c r="M53" s="94"/>
      <c r="N53" s="94"/>
      <c r="O53" s="94"/>
      <c r="P53" s="130"/>
      <c r="Q53" s="92"/>
      <c r="R53" s="25"/>
    </row>
    <row r="54" spans="2:18" ht="18.75" hidden="1" customHeight="1" x14ac:dyDescent="0.15">
      <c r="C54" s="37" t="s">
        <v>320</v>
      </c>
      <c r="D54" s="93">
        <f>D55-D52-D53</f>
        <v>33.879852245479924</v>
      </c>
      <c r="E54" s="26" t="s">
        <v>321</v>
      </c>
      <c r="F54" s="26"/>
      <c r="G54" s="26"/>
      <c r="H54" s="26"/>
      <c r="K54" s="130"/>
      <c r="L54" s="130"/>
      <c r="M54" s="94"/>
      <c r="N54" s="94"/>
      <c r="O54" s="94"/>
      <c r="P54" s="130"/>
      <c r="Q54" s="92"/>
      <c r="R54" s="25"/>
    </row>
    <row r="55" spans="2:18" ht="18.75" hidden="1" customHeight="1" x14ac:dyDescent="0.15">
      <c r="C55" s="37" t="s">
        <v>322</v>
      </c>
      <c r="D55" s="90">
        <f>D52/0.65</f>
        <v>11525.371006415657</v>
      </c>
      <c r="E55" s="36" t="s">
        <v>323</v>
      </c>
      <c r="F55" s="26"/>
      <c r="G55" s="26"/>
      <c r="H55" s="26"/>
      <c r="K55" s="130"/>
      <c r="L55" s="130"/>
      <c r="M55" s="94"/>
      <c r="N55" s="94"/>
      <c r="O55" s="94"/>
      <c r="P55" s="130"/>
      <c r="Q55" s="92"/>
      <c r="R55" s="25"/>
    </row>
    <row r="56" spans="2:18" ht="18.75" customHeight="1" x14ac:dyDescent="0.15">
      <c r="B56" s="30" t="s">
        <v>337</v>
      </c>
      <c r="E56" s="34"/>
      <c r="F56" s="34"/>
      <c r="G56" s="34"/>
      <c r="H56" s="34"/>
      <c r="K56" s="130"/>
      <c r="L56" s="130"/>
      <c r="M56" s="94"/>
      <c r="N56" s="94"/>
      <c r="O56" s="94"/>
      <c r="P56" s="130"/>
      <c r="Q56" s="92"/>
      <c r="R56" s="25"/>
    </row>
    <row r="57" spans="2:18" ht="83.25" customHeight="1" x14ac:dyDescent="0.15">
      <c r="C57" s="135" t="s">
        <v>365</v>
      </c>
      <c r="D57" s="136" t="s">
        <v>361</v>
      </c>
      <c r="E57" s="136" t="s">
        <v>356</v>
      </c>
      <c r="F57" s="136" t="s">
        <v>359</v>
      </c>
      <c r="G57" s="136" t="s">
        <v>358</v>
      </c>
      <c r="H57" s="136" t="s">
        <v>357</v>
      </c>
      <c r="I57" s="136" t="s">
        <v>360</v>
      </c>
      <c r="K57" s="130"/>
      <c r="L57" s="130"/>
      <c r="M57" s="94"/>
      <c r="N57" s="94"/>
      <c r="O57" s="94"/>
      <c r="P57" s="130"/>
      <c r="Q57" s="92"/>
      <c r="R57" s="25"/>
    </row>
    <row r="58" spans="2:18" ht="18.75" customHeight="1" x14ac:dyDescent="0.15">
      <c r="C58" s="135" t="s">
        <v>181</v>
      </c>
      <c r="D58" s="150">
        <v>800000000</v>
      </c>
      <c r="E58" s="151"/>
      <c r="F58" s="151">
        <v>18</v>
      </c>
      <c r="G58" s="150">
        <f>ROUNDDOWN(($D58*0.9)/$F58,0)</f>
        <v>40000000</v>
      </c>
      <c r="H58" s="150">
        <v>2181</v>
      </c>
      <c r="I58" s="155">
        <v>7703</v>
      </c>
      <c r="K58" s="130"/>
      <c r="L58" s="130"/>
      <c r="M58" s="94"/>
      <c r="N58" s="94"/>
      <c r="O58" s="94"/>
      <c r="P58" s="130"/>
      <c r="Q58" s="92"/>
      <c r="R58" s="25"/>
    </row>
    <row r="59" spans="2:18" ht="18.75" customHeight="1" x14ac:dyDescent="0.15">
      <c r="C59" s="135" t="s">
        <v>182</v>
      </c>
      <c r="D59" s="150">
        <v>2229000000</v>
      </c>
      <c r="E59" s="151"/>
      <c r="F59" s="151">
        <v>52</v>
      </c>
      <c r="G59" s="150">
        <f>ROUNDDOWN(($D59*0.9)/$F59,0)</f>
        <v>38578846</v>
      </c>
      <c r="H59" s="150">
        <v>4808</v>
      </c>
      <c r="I59" s="155">
        <v>8776</v>
      </c>
      <c r="K59" s="130"/>
      <c r="L59" s="130"/>
      <c r="M59" s="94"/>
      <c r="N59" s="94"/>
      <c r="O59" s="94"/>
      <c r="P59" s="130"/>
      <c r="Q59" s="92"/>
      <c r="R59" s="25"/>
    </row>
    <row r="60" spans="2:18" ht="18.75" customHeight="1" x14ac:dyDescent="0.15">
      <c r="C60" s="135" t="s">
        <v>183</v>
      </c>
      <c r="D60" s="152">
        <v>2106000000</v>
      </c>
      <c r="E60" s="151"/>
      <c r="F60" s="151">
        <v>63</v>
      </c>
      <c r="G60" s="150">
        <f>ROUNDDOWN(($D60*0.9)/$F60,0)</f>
        <v>30085714</v>
      </c>
      <c r="H60" s="150">
        <v>7845</v>
      </c>
      <c r="I60" s="155">
        <v>6865</v>
      </c>
      <c r="K60" s="130"/>
      <c r="L60" s="130"/>
      <c r="M60" s="94"/>
      <c r="N60" s="94"/>
      <c r="O60" s="94"/>
      <c r="P60" s="130"/>
      <c r="Q60" s="92"/>
      <c r="R60" s="25"/>
    </row>
    <row r="61" spans="2:18" ht="18.75" customHeight="1" x14ac:dyDescent="0.15">
      <c r="C61" s="135" t="s">
        <v>184</v>
      </c>
      <c r="D61" s="152">
        <v>2208000000</v>
      </c>
      <c r="E61" s="151"/>
      <c r="F61" s="151">
        <v>51</v>
      </c>
      <c r="G61" s="150">
        <f>ROUNDDOWN(($D61*0.9)/$F61,0)</f>
        <v>38964705</v>
      </c>
      <c r="H61" s="150">
        <v>6550</v>
      </c>
      <c r="I61" s="155">
        <v>6695</v>
      </c>
      <c r="K61" s="130"/>
      <c r="L61" s="130"/>
      <c r="M61" s="94"/>
      <c r="N61" s="94"/>
      <c r="O61" s="94"/>
      <c r="P61" s="130"/>
      <c r="Q61" s="92"/>
      <c r="R61" s="25"/>
    </row>
    <row r="62" spans="2:18" ht="18.75" customHeight="1" x14ac:dyDescent="0.15">
      <c r="C62" s="137" t="s">
        <v>185</v>
      </c>
      <c r="D62" s="153"/>
      <c r="E62" s="150">
        <v>300764200</v>
      </c>
      <c r="F62" s="151">
        <v>16</v>
      </c>
      <c r="G62" s="150">
        <f>ROUNDDOWN(E62/F62,0)</f>
        <v>18797762</v>
      </c>
      <c r="H62" s="150">
        <v>2901</v>
      </c>
      <c r="I62" s="155">
        <v>1883</v>
      </c>
      <c r="K62" s="130"/>
      <c r="L62" s="130"/>
      <c r="M62" s="94"/>
      <c r="N62" s="94"/>
      <c r="O62" s="94"/>
      <c r="P62" s="130"/>
      <c r="Q62" s="92"/>
      <c r="R62" s="25"/>
    </row>
    <row r="63" spans="2:18" ht="18.75" customHeight="1" x14ac:dyDescent="0.15">
      <c r="C63" s="137" t="s">
        <v>186</v>
      </c>
      <c r="D63" s="153"/>
      <c r="E63" s="150">
        <v>484827310</v>
      </c>
      <c r="F63" s="151">
        <v>28</v>
      </c>
      <c r="G63" s="150">
        <f>ROUNDDOWN(E63/F63,0)</f>
        <v>17315261</v>
      </c>
      <c r="H63" s="150">
        <v>2990</v>
      </c>
      <c r="I63" s="155">
        <v>6784</v>
      </c>
      <c r="K63" s="130"/>
      <c r="L63" s="130"/>
      <c r="M63" s="94"/>
      <c r="N63" s="94"/>
      <c r="O63" s="94"/>
      <c r="P63" s="130"/>
      <c r="Q63" s="92"/>
      <c r="R63" s="25"/>
    </row>
    <row r="64" spans="2:18" ht="18.75" customHeight="1" x14ac:dyDescent="0.15">
      <c r="C64" s="137" t="s">
        <v>187</v>
      </c>
      <c r="D64" s="153"/>
      <c r="E64" s="150">
        <v>268501200</v>
      </c>
      <c r="F64" s="151">
        <v>16</v>
      </c>
      <c r="G64" s="150">
        <f>ROUNDDOWN(E64/F64,0)</f>
        <v>16781325</v>
      </c>
      <c r="H64" s="150">
        <v>2994</v>
      </c>
      <c r="I64" s="155">
        <v>2443</v>
      </c>
      <c r="K64" s="130"/>
      <c r="L64" s="130"/>
      <c r="M64" s="94"/>
      <c r="N64" s="94"/>
      <c r="O64" s="94"/>
      <c r="P64" s="130"/>
      <c r="Q64" s="92"/>
      <c r="R64" s="25"/>
    </row>
    <row r="65" spans="3:18" ht="18.75" customHeight="1" x14ac:dyDescent="0.15">
      <c r="C65" s="137" t="s">
        <v>188</v>
      </c>
      <c r="D65" s="153"/>
      <c r="E65" s="150">
        <v>1615616200</v>
      </c>
      <c r="F65" s="151">
        <v>98</v>
      </c>
      <c r="G65" s="150">
        <f>ROUNDDOWN(E65/F65,0)</f>
        <v>16485879</v>
      </c>
      <c r="H65" s="150">
        <v>12424</v>
      </c>
      <c r="I65" s="155">
        <v>2502</v>
      </c>
      <c r="K65" s="130"/>
      <c r="L65" s="130"/>
      <c r="M65" s="94"/>
      <c r="N65" s="94"/>
      <c r="O65" s="94"/>
      <c r="P65" s="130"/>
      <c r="Q65" s="92"/>
      <c r="R65" s="25"/>
    </row>
    <row r="66" spans="3:18" ht="18.75" customHeight="1" x14ac:dyDescent="0.15">
      <c r="C66" s="34"/>
      <c r="D66" s="95"/>
      <c r="E66" s="34"/>
      <c r="F66" s="34"/>
      <c r="G66" s="34"/>
      <c r="H66" s="34"/>
      <c r="K66" s="130"/>
      <c r="L66" s="130"/>
      <c r="M66" s="94"/>
      <c r="N66" s="94"/>
      <c r="O66" s="94"/>
      <c r="P66" s="130"/>
      <c r="Q66" s="92"/>
      <c r="R66" s="25"/>
    </row>
    <row r="67" spans="3:18" ht="18.75" customHeight="1" x14ac:dyDescent="0.15">
      <c r="C67" s="37" t="s">
        <v>364</v>
      </c>
      <c r="D67" s="107">
        <f>IFERROR(VLOOKUP(家賃シミュレーションシート!$D$72,家賃・近傍同種計算!$C$58:$G$65,5,FALSE)/1000,0)</f>
        <v>0</v>
      </c>
      <c r="E67" s="96" t="s">
        <v>363</v>
      </c>
      <c r="F67" s="34"/>
      <c r="G67" s="34"/>
      <c r="H67" s="34"/>
    </row>
    <row r="68" spans="3:18" ht="18.75" customHeight="1" x14ac:dyDescent="0.15">
      <c r="C68" s="34"/>
      <c r="D68" s="95"/>
      <c r="E68" s="34"/>
      <c r="F68" s="34"/>
      <c r="G68" s="34"/>
      <c r="H68" s="34"/>
    </row>
    <row r="69" spans="3:18" ht="18.75" customHeight="1" x14ac:dyDescent="0.15">
      <c r="C69" s="97" t="s">
        <v>341</v>
      </c>
      <c r="D69" s="77">
        <v>1</v>
      </c>
      <c r="E69" s="98"/>
      <c r="F69" s="34"/>
      <c r="G69" s="34"/>
      <c r="H69" s="34"/>
    </row>
    <row r="70" spans="3:18" ht="18.75" customHeight="1" x14ac:dyDescent="0.15">
      <c r="C70" s="97" t="s">
        <v>342</v>
      </c>
      <c r="D70" s="99" t="str">
        <f>IF($B$14="","-",IF($B$14&gt;=4,$D$105,$D$104))</f>
        <v>-</v>
      </c>
      <c r="E70" s="98"/>
      <c r="F70" s="34"/>
      <c r="G70" s="34"/>
      <c r="H70" s="34"/>
    </row>
    <row r="71" spans="3:18" ht="18.75" customHeight="1" x14ac:dyDescent="0.15">
      <c r="C71" s="97" t="s">
        <v>343</v>
      </c>
      <c r="D71" s="100" t="e">
        <f>1-D70</f>
        <v>#VALUE!</v>
      </c>
      <c r="E71" s="98"/>
      <c r="F71" s="34"/>
      <c r="G71" s="34"/>
      <c r="H71" s="34"/>
    </row>
    <row r="72" spans="3:18" ht="18.75" customHeight="1" x14ac:dyDescent="0.15">
      <c r="C72" s="97" t="s">
        <v>344</v>
      </c>
      <c r="D72" s="101" t="str">
        <f>IF($B$14=1,D113,IF($B$14&lt;=3,D114,IF($B$14&lt;=5,D115,"-")))</f>
        <v>-</v>
      </c>
      <c r="E72" s="98"/>
      <c r="F72" s="34"/>
      <c r="G72" s="34"/>
      <c r="H72" s="34"/>
    </row>
    <row r="73" spans="3:18" ht="18.75" customHeight="1" x14ac:dyDescent="0.15">
      <c r="C73" s="97" t="s">
        <v>345</v>
      </c>
      <c r="D73" s="102" t="str">
        <f>IF($B$14=1,D118,IF($B$14&lt;=3,D119,IF($B$14&lt;=5,D120,"-")))</f>
        <v>-</v>
      </c>
      <c r="E73" s="98"/>
      <c r="F73" s="34"/>
      <c r="G73" s="34"/>
      <c r="H73" s="34"/>
    </row>
    <row r="74" spans="3:18" ht="18.75" customHeight="1" x14ac:dyDescent="0.15">
      <c r="C74" s="97" t="s">
        <v>346</v>
      </c>
      <c r="D74" s="103" t="str">
        <f>IF($B$14=1,D123,IF($B$14&lt;=3,D124,IF($B$14&lt;=5,D125,"-")))</f>
        <v>-</v>
      </c>
      <c r="E74" s="98"/>
      <c r="F74" s="34"/>
      <c r="G74" s="34"/>
      <c r="H74" s="34"/>
    </row>
    <row r="75" spans="3:18" ht="18.75" customHeight="1" x14ac:dyDescent="0.15">
      <c r="C75" s="97" t="s">
        <v>347</v>
      </c>
      <c r="D75" s="104" t="str">
        <f>IF($B$14=1,D128,IF($B$14=2,D129,IF($B$14&lt;=4,D130,IF($B$14=5,D131,"-"))))</f>
        <v>-</v>
      </c>
      <c r="E75" s="98"/>
      <c r="F75" s="34"/>
      <c r="G75" s="34"/>
      <c r="H75" s="34"/>
    </row>
    <row r="76" spans="3:18" ht="18.75" customHeight="1" x14ac:dyDescent="0.15">
      <c r="D76" s="105"/>
    </row>
    <row r="77" spans="3:18" ht="18.75" customHeight="1" x14ac:dyDescent="0.15">
      <c r="C77" s="97" t="s">
        <v>348</v>
      </c>
      <c r="D77" s="106" t="str">
        <f>IF($B$14=1,D108,IF($B$14&lt;=3,D109,IF($B$14&lt;=5,D110,"-")))</f>
        <v>-</v>
      </c>
    </row>
    <row r="78" spans="3:18" ht="18.75" customHeight="1" x14ac:dyDescent="0.15">
      <c r="C78" s="97" t="s">
        <v>324</v>
      </c>
      <c r="D78" s="131">
        <f>IFERROR(VLOOKUP(家賃シミュレーションシート!$D$72,家賃・近傍同種計算!$C$58:$H$65,6,FALSE),0)</f>
        <v>0</v>
      </c>
      <c r="E78" s="26"/>
    </row>
    <row r="79" spans="3:18" ht="18.75" customHeight="1" x14ac:dyDescent="0.15">
      <c r="C79" s="97" t="s">
        <v>325</v>
      </c>
      <c r="D79" s="132">
        <f>IFERROR(VLOOKUP(家賃シミュレーションシート!$D$72,家賃・近傍同種計算!$C$58:$H$65,4,FALSE),0)</f>
        <v>0</v>
      </c>
      <c r="E79" s="26"/>
    </row>
    <row r="80" spans="3:18" ht="18.75" customHeight="1" x14ac:dyDescent="0.15">
      <c r="C80" s="97" t="s">
        <v>349</v>
      </c>
      <c r="D80" s="133" t="e">
        <f>D78/D79</f>
        <v>#DIV/0!</v>
      </c>
      <c r="E80" s="26"/>
    </row>
    <row r="81" spans="2:152" ht="18.75" customHeight="1" x14ac:dyDescent="0.15">
      <c r="C81" s="97" t="s">
        <v>326</v>
      </c>
      <c r="D81" s="134">
        <f>IFERROR(VLOOKUP(家賃シミュレーションシート!$D$72,家賃・近傍同種計算!$C$58:$I$65,7,FALSE)/1000,0)</f>
        <v>0</v>
      </c>
      <c r="E81" s="36"/>
    </row>
    <row r="82" spans="2:152" ht="18.75" customHeight="1" x14ac:dyDescent="0.15">
      <c r="D82" s="105"/>
    </row>
    <row r="83" spans="2:152" ht="18.75" customHeight="1" x14ac:dyDescent="0.15">
      <c r="C83" s="97" t="s">
        <v>350</v>
      </c>
      <c r="D83" s="107">
        <f>IF(D67="",D55,D67)</f>
        <v>0</v>
      </c>
      <c r="E83" s="98"/>
      <c r="F83" s="34"/>
      <c r="G83" s="34"/>
      <c r="H83" s="34"/>
    </row>
    <row r="84" spans="2:152" ht="18.75" customHeight="1" x14ac:dyDescent="0.15">
      <c r="C84" s="97" t="s">
        <v>351</v>
      </c>
      <c r="D84" s="107" t="e">
        <f>D81*D80</f>
        <v>#DIV/0!</v>
      </c>
      <c r="E84" s="98"/>
      <c r="F84" s="34"/>
      <c r="G84" s="34"/>
      <c r="H84" s="34"/>
    </row>
    <row r="85" spans="2:152" ht="18.75" customHeight="1" x14ac:dyDescent="0.15">
      <c r="C85" s="97" t="s">
        <v>352</v>
      </c>
      <c r="D85" s="107" t="e">
        <f>D75*D48</f>
        <v>#VALUE!</v>
      </c>
      <c r="E85" s="98"/>
      <c r="F85" s="34"/>
      <c r="G85" s="34"/>
      <c r="H85" s="34"/>
    </row>
    <row r="86" spans="2:152" ht="18.75" customHeight="1" x14ac:dyDescent="0.15">
      <c r="G86" s="39" t="s">
        <v>338</v>
      </c>
    </row>
    <row r="87" spans="2:152" ht="18.75" customHeight="1" x14ac:dyDescent="0.15">
      <c r="B87" s="30" t="s">
        <v>339</v>
      </c>
      <c r="D87" s="31"/>
      <c r="E87" s="31"/>
      <c r="F87" s="31"/>
      <c r="G87" s="31" t="s">
        <v>225</v>
      </c>
      <c r="H87" s="31" t="s">
        <v>226</v>
      </c>
      <c r="I87" s="31" t="s">
        <v>227</v>
      </c>
      <c r="J87" s="31" t="s">
        <v>228</v>
      </c>
      <c r="K87" s="31" t="s">
        <v>229</v>
      </c>
      <c r="L87" s="31" t="s">
        <v>230</v>
      </c>
      <c r="M87" s="31" t="s">
        <v>231</v>
      </c>
      <c r="N87" s="31" t="s">
        <v>232</v>
      </c>
      <c r="O87" s="31" t="s">
        <v>233</v>
      </c>
      <c r="P87" s="31" t="s">
        <v>234</v>
      </c>
      <c r="Q87" s="31" t="s">
        <v>235</v>
      </c>
      <c r="R87" s="31" t="s">
        <v>236</v>
      </c>
      <c r="S87" s="31" t="s">
        <v>237</v>
      </c>
      <c r="T87" s="31" t="s">
        <v>238</v>
      </c>
      <c r="U87" s="31" t="s">
        <v>239</v>
      </c>
      <c r="V87" s="31" t="s">
        <v>240</v>
      </c>
      <c r="W87" s="31" t="s">
        <v>241</v>
      </c>
      <c r="X87" s="31" t="s">
        <v>242</v>
      </c>
      <c r="Y87" s="31" t="s">
        <v>243</v>
      </c>
      <c r="Z87" s="31" t="s">
        <v>244</v>
      </c>
      <c r="AA87" s="31" t="s">
        <v>245</v>
      </c>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c r="BN87" s="31"/>
      <c r="BO87" s="31"/>
      <c r="BP87" s="31"/>
      <c r="BQ87" s="31"/>
      <c r="BR87" s="31"/>
      <c r="BS87" s="31"/>
      <c r="BT87" s="31"/>
      <c r="BU87" s="3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c r="EK87" s="31"/>
      <c r="EL87" s="31"/>
      <c r="EM87" s="31"/>
      <c r="EN87" s="31"/>
      <c r="EO87" s="31"/>
      <c r="EP87" s="31"/>
      <c r="EQ87" s="31"/>
      <c r="ER87" s="31"/>
      <c r="ES87" s="31"/>
      <c r="ET87" s="31"/>
      <c r="EU87" s="31"/>
      <c r="EV87" s="31"/>
    </row>
    <row r="88" spans="2:152" ht="18.75" customHeight="1" x14ac:dyDescent="0.15">
      <c r="C88" s="110" t="s">
        <v>286</v>
      </c>
      <c r="D88" s="111" t="s">
        <v>353</v>
      </c>
      <c r="E88" s="387"/>
      <c r="F88" s="388"/>
      <c r="G88" s="388"/>
      <c r="H88" s="112">
        <v>1</v>
      </c>
      <c r="I88" s="113">
        <v>2</v>
      </c>
      <c r="J88" s="113">
        <v>3</v>
      </c>
      <c r="K88" s="113">
        <v>4</v>
      </c>
      <c r="L88" s="113">
        <v>5</v>
      </c>
      <c r="M88" s="113">
        <v>6</v>
      </c>
      <c r="N88" s="113">
        <v>7</v>
      </c>
      <c r="O88" s="113">
        <v>8</v>
      </c>
      <c r="P88" s="113">
        <v>9</v>
      </c>
      <c r="Q88" s="113">
        <v>10</v>
      </c>
      <c r="R88" s="113">
        <v>11</v>
      </c>
      <c r="S88" s="113">
        <v>12</v>
      </c>
      <c r="T88" s="113">
        <v>13</v>
      </c>
      <c r="U88" s="113">
        <v>14</v>
      </c>
      <c r="V88" s="113">
        <v>15</v>
      </c>
      <c r="W88" s="113">
        <v>16</v>
      </c>
      <c r="X88" s="113">
        <v>17</v>
      </c>
      <c r="Y88" s="113">
        <v>18</v>
      </c>
      <c r="Z88" s="113">
        <v>19</v>
      </c>
      <c r="AA88" s="113">
        <v>20</v>
      </c>
      <c r="AB88" s="113">
        <v>21</v>
      </c>
      <c r="AC88" s="113">
        <v>22</v>
      </c>
      <c r="AD88" s="113">
        <v>23</v>
      </c>
      <c r="AE88" s="113">
        <v>24</v>
      </c>
      <c r="AF88" s="113">
        <v>25</v>
      </c>
      <c r="AG88" s="113">
        <v>26</v>
      </c>
      <c r="AH88" s="113">
        <v>27</v>
      </c>
      <c r="AI88" s="113">
        <v>28</v>
      </c>
      <c r="AJ88" s="113">
        <v>29</v>
      </c>
      <c r="AK88" s="113">
        <v>30</v>
      </c>
      <c r="AL88" s="113">
        <v>31</v>
      </c>
      <c r="AM88" s="113">
        <v>32</v>
      </c>
      <c r="AN88" s="113">
        <v>33</v>
      </c>
      <c r="AO88" s="113">
        <v>34</v>
      </c>
      <c r="AP88" s="113">
        <v>35</v>
      </c>
      <c r="AQ88" s="113">
        <v>36</v>
      </c>
      <c r="AR88" s="113">
        <v>37</v>
      </c>
      <c r="AS88" s="113">
        <v>38</v>
      </c>
      <c r="AT88" s="113">
        <v>39</v>
      </c>
      <c r="AU88" s="113">
        <v>40</v>
      </c>
      <c r="AV88" s="113">
        <v>41</v>
      </c>
      <c r="AW88" s="113">
        <v>42</v>
      </c>
      <c r="AX88" s="113">
        <v>43</v>
      </c>
      <c r="AY88" s="113">
        <v>44</v>
      </c>
      <c r="AZ88" s="113">
        <v>45</v>
      </c>
    </row>
    <row r="89" spans="2:152" ht="18.75" customHeight="1" x14ac:dyDescent="0.15">
      <c r="C89" s="114" t="s">
        <v>287</v>
      </c>
      <c r="D89" s="115" t="s">
        <v>288</v>
      </c>
      <c r="E89" s="389" t="s">
        <v>289</v>
      </c>
      <c r="F89" s="390"/>
      <c r="G89" s="390"/>
      <c r="H89" s="116" t="e">
        <f t="shared" ref="H89:AZ89" si="15">($D$83*1000*$D$69)-($D$83*1000*$D$69)*$D$70/$D$77*H$88</f>
        <v>#VALUE!</v>
      </c>
      <c r="I89" s="116" t="e">
        <f t="shared" si="15"/>
        <v>#VALUE!</v>
      </c>
      <c r="J89" s="116" t="e">
        <f t="shared" si="15"/>
        <v>#VALUE!</v>
      </c>
      <c r="K89" s="116" t="e">
        <f t="shared" si="15"/>
        <v>#VALUE!</v>
      </c>
      <c r="L89" s="116" t="e">
        <f t="shared" si="15"/>
        <v>#VALUE!</v>
      </c>
      <c r="M89" s="116" t="e">
        <f t="shared" si="15"/>
        <v>#VALUE!</v>
      </c>
      <c r="N89" s="116" t="e">
        <f t="shared" si="15"/>
        <v>#VALUE!</v>
      </c>
      <c r="O89" s="116" t="e">
        <f t="shared" si="15"/>
        <v>#VALUE!</v>
      </c>
      <c r="P89" s="116" t="e">
        <f t="shared" si="15"/>
        <v>#VALUE!</v>
      </c>
      <c r="Q89" s="116" t="e">
        <f t="shared" si="15"/>
        <v>#VALUE!</v>
      </c>
      <c r="R89" s="116" t="e">
        <f t="shared" si="15"/>
        <v>#VALUE!</v>
      </c>
      <c r="S89" s="116" t="e">
        <f t="shared" si="15"/>
        <v>#VALUE!</v>
      </c>
      <c r="T89" s="116" t="e">
        <f t="shared" si="15"/>
        <v>#VALUE!</v>
      </c>
      <c r="U89" s="116" t="e">
        <f t="shared" si="15"/>
        <v>#VALUE!</v>
      </c>
      <c r="V89" s="116" t="e">
        <f t="shared" si="15"/>
        <v>#VALUE!</v>
      </c>
      <c r="W89" s="116" t="e">
        <f t="shared" si="15"/>
        <v>#VALUE!</v>
      </c>
      <c r="X89" s="116" t="e">
        <f t="shared" si="15"/>
        <v>#VALUE!</v>
      </c>
      <c r="Y89" s="116" t="e">
        <f t="shared" si="15"/>
        <v>#VALUE!</v>
      </c>
      <c r="Z89" s="116" t="e">
        <f t="shared" si="15"/>
        <v>#VALUE!</v>
      </c>
      <c r="AA89" s="116" t="e">
        <f t="shared" si="15"/>
        <v>#VALUE!</v>
      </c>
      <c r="AB89" s="116" t="e">
        <f t="shared" si="15"/>
        <v>#VALUE!</v>
      </c>
      <c r="AC89" s="116" t="e">
        <f t="shared" si="15"/>
        <v>#VALUE!</v>
      </c>
      <c r="AD89" s="116" t="e">
        <f t="shared" si="15"/>
        <v>#VALUE!</v>
      </c>
      <c r="AE89" s="116" t="e">
        <f t="shared" si="15"/>
        <v>#VALUE!</v>
      </c>
      <c r="AF89" s="116" t="e">
        <f t="shared" si="15"/>
        <v>#VALUE!</v>
      </c>
      <c r="AG89" s="116" t="e">
        <f t="shared" si="15"/>
        <v>#VALUE!</v>
      </c>
      <c r="AH89" s="116" t="e">
        <f t="shared" si="15"/>
        <v>#VALUE!</v>
      </c>
      <c r="AI89" s="116" t="e">
        <f t="shared" si="15"/>
        <v>#VALUE!</v>
      </c>
      <c r="AJ89" s="116" t="e">
        <f t="shared" si="15"/>
        <v>#VALUE!</v>
      </c>
      <c r="AK89" s="116" t="e">
        <f t="shared" si="15"/>
        <v>#VALUE!</v>
      </c>
      <c r="AL89" s="116" t="e">
        <f t="shared" si="15"/>
        <v>#VALUE!</v>
      </c>
      <c r="AM89" s="116" t="e">
        <f t="shared" si="15"/>
        <v>#VALUE!</v>
      </c>
      <c r="AN89" s="116" t="e">
        <f t="shared" si="15"/>
        <v>#VALUE!</v>
      </c>
      <c r="AO89" s="116" t="e">
        <f t="shared" si="15"/>
        <v>#VALUE!</v>
      </c>
      <c r="AP89" s="116" t="e">
        <f t="shared" si="15"/>
        <v>#VALUE!</v>
      </c>
      <c r="AQ89" s="116" t="e">
        <f t="shared" si="15"/>
        <v>#VALUE!</v>
      </c>
      <c r="AR89" s="116" t="e">
        <f t="shared" si="15"/>
        <v>#VALUE!</v>
      </c>
      <c r="AS89" s="116" t="e">
        <f t="shared" si="15"/>
        <v>#VALUE!</v>
      </c>
      <c r="AT89" s="116" t="e">
        <f t="shared" si="15"/>
        <v>#VALUE!</v>
      </c>
      <c r="AU89" s="116" t="e">
        <f t="shared" si="15"/>
        <v>#VALUE!</v>
      </c>
      <c r="AV89" s="116" t="e">
        <f t="shared" si="15"/>
        <v>#VALUE!</v>
      </c>
      <c r="AW89" s="116" t="e">
        <f t="shared" si="15"/>
        <v>#VALUE!</v>
      </c>
      <c r="AX89" s="116" t="e">
        <f t="shared" si="15"/>
        <v>#VALUE!</v>
      </c>
      <c r="AY89" s="116" t="e">
        <f t="shared" si="15"/>
        <v>#VALUE!</v>
      </c>
      <c r="AZ89" s="116" t="e">
        <f t="shared" si="15"/>
        <v>#VALUE!</v>
      </c>
    </row>
    <row r="90" spans="2:152" ht="18.75" customHeight="1" x14ac:dyDescent="0.15">
      <c r="C90" s="117" t="s">
        <v>290</v>
      </c>
      <c r="D90" s="118" t="s">
        <v>291</v>
      </c>
      <c r="E90" s="379" t="s">
        <v>354</v>
      </c>
      <c r="F90" s="380"/>
      <c r="G90" s="380"/>
      <c r="H90" s="119" t="e">
        <f t="shared" ref="H90:AZ90" si="16">H$89*0.03+$D$84*1000*0.01</f>
        <v>#VALUE!</v>
      </c>
      <c r="I90" s="119" t="e">
        <f t="shared" si="16"/>
        <v>#VALUE!</v>
      </c>
      <c r="J90" s="119" t="e">
        <f t="shared" si="16"/>
        <v>#VALUE!</v>
      </c>
      <c r="K90" s="119" t="e">
        <f t="shared" si="16"/>
        <v>#VALUE!</v>
      </c>
      <c r="L90" s="119" t="e">
        <f t="shared" si="16"/>
        <v>#VALUE!</v>
      </c>
      <c r="M90" s="119" t="e">
        <f t="shared" si="16"/>
        <v>#VALUE!</v>
      </c>
      <c r="N90" s="119" t="e">
        <f t="shared" si="16"/>
        <v>#VALUE!</v>
      </c>
      <c r="O90" s="119" t="e">
        <f t="shared" si="16"/>
        <v>#VALUE!</v>
      </c>
      <c r="P90" s="119" t="e">
        <f t="shared" si="16"/>
        <v>#VALUE!</v>
      </c>
      <c r="Q90" s="119" t="e">
        <f t="shared" si="16"/>
        <v>#VALUE!</v>
      </c>
      <c r="R90" s="119" t="e">
        <f t="shared" si="16"/>
        <v>#VALUE!</v>
      </c>
      <c r="S90" s="119" t="e">
        <f t="shared" si="16"/>
        <v>#VALUE!</v>
      </c>
      <c r="T90" s="119" t="e">
        <f t="shared" si="16"/>
        <v>#VALUE!</v>
      </c>
      <c r="U90" s="119" t="e">
        <f t="shared" si="16"/>
        <v>#VALUE!</v>
      </c>
      <c r="V90" s="119" t="e">
        <f t="shared" si="16"/>
        <v>#VALUE!</v>
      </c>
      <c r="W90" s="119" t="e">
        <f t="shared" si="16"/>
        <v>#VALUE!</v>
      </c>
      <c r="X90" s="119" t="e">
        <f t="shared" si="16"/>
        <v>#VALUE!</v>
      </c>
      <c r="Y90" s="119" t="e">
        <f t="shared" si="16"/>
        <v>#VALUE!</v>
      </c>
      <c r="Z90" s="119" t="e">
        <f t="shared" si="16"/>
        <v>#VALUE!</v>
      </c>
      <c r="AA90" s="119" t="e">
        <f t="shared" si="16"/>
        <v>#VALUE!</v>
      </c>
      <c r="AB90" s="119" t="e">
        <f t="shared" si="16"/>
        <v>#VALUE!</v>
      </c>
      <c r="AC90" s="119" t="e">
        <f t="shared" si="16"/>
        <v>#VALUE!</v>
      </c>
      <c r="AD90" s="119" t="e">
        <f t="shared" si="16"/>
        <v>#VALUE!</v>
      </c>
      <c r="AE90" s="119" t="e">
        <f t="shared" si="16"/>
        <v>#VALUE!</v>
      </c>
      <c r="AF90" s="119" t="e">
        <f t="shared" si="16"/>
        <v>#VALUE!</v>
      </c>
      <c r="AG90" s="119" t="e">
        <f t="shared" si="16"/>
        <v>#VALUE!</v>
      </c>
      <c r="AH90" s="119" t="e">
        <f t="shared" si="16"/>
        <v>#VALUE!</v>
      </c>
      <c r="AI90" s="119" t="e">
        <f t="shared" si="16"/>
        <v>#VALUE!</v>
      </c>
      <c r="AJ90" s="119" t="e">
        <f t="shared" si="16"/>
        <v>#VALUE!</v>
      </c>
      <c r="AK90" s="119" t="e">
        <f t="shared" si="16"/>
        <v>#VALUE!</v>
      </c>
      <c r="AL90" s="119" t="e">
        <f t="shared" si="16"/>
        <v>#VALUE!</v>
      </c>
      <c r="AM90" s="119" t="e">
        <f t="shared" si="16"/>
        <v>#VALUE!</v>
      </c>
      <c r="AN90" s="119" t="e">
        <f t="shared" si="16"/>
        <v>#VALUE!</v>
      </c>
      <c r="AO90" s="119" t="e">
        <f t="shared" si="16"/>
        <v>#VALUE!</v>
      </c>
      <c r="AP90" s="119" t="e">
        <f t="shared" si="16"/>
        <v>#VALUE!</v>
      </c>
      <c r="AQ90" s="119" t="e">
        <f t="shared" si="16"/>
        <v>#VALUE!</v>
      </c>
      <c r="AR90" s="119" t="e">
        <f t="shared" si="16"/>
        <v>#VALUE!</v>
      </c>
      <c r="AS90" s="119" t="e">
        <f t="shared" si="16"/>
        <v>#VALUE!</v>
      </c>
      <c r="AT90" s="119" t="e">
        <f t="shared" si="16"/>
        <v>#VALUE!</v>
      </c>
      <c r="AU90" s="119" t="e">
        <f t="shared" si="16"/>
        <v>#VALUE!</v>
      </c>
      <c r="AV90" s="119" t="e">
        <f t="shared" si="16"/>
        <v>#VALUE!</v>
      </c>
      <c r="AW90" s="119" t="e">
        <f t="shared" si="16"/>
        <v>#VALUE!</v>
      </c>
      <c r="AX90" s="119" t="e">
        <f t="shared" si="16"/>
        <v>#VALUE!</v>
      </c>
      <c r="AY90" s="119" t="e">
        <f t="shared" si="16"/>
        <v>#VALUE!</v>
      </c>
      <c r="AZ90" s="119" t="e">
        <f t="shared" si="16"/>
        <v>#VALUE!</v>
      </c>
    </row>
    <row r="91" spans="2:152" ht="18.75" customHeight="1" x14ac:dyDescent="0.15">
      <c r="C91" s="117" t="s">
        <v>292</v>
      </c>
      <c r="D91" s="118" t="s">
        <v>293</v>
      </c>
      <c r="E91" s="381" t="s">
        <v>294</v>
      </c>
      <c r="F91" s="380"/>
      <c r="G91" s="380"/>
      <c r="H91" s="119" t="e">
        <f t="shared" ref="H91:AZ91" si="17">($D$83*1000-$D$83*1000*$D$71)/$D$77</f>
        <v>#VALUE!</v>
      </c>
      <c r="I91" s="119" t="e">
        <f t="shared" si="17"/>
        <v>#VALUE!</v>
      </c>
      <c r="J91" s="119" t="e">
        <f t="shared" si="17"/>
        <v>#VALUE!</v>
      </c>
      <c r="K91" s="119" t="e">
        <f t="shared" si="17"/>
        <v>#VALUE!</v>
      </c>
      <c r="L91" s="119" t="e">
        <f t="shared" si="17"/>
        <v>#VALUE!</v>
      </c>
      <c r="M91" s="119" t="e">
        <f t="shared" si="17"/>
        <v>#VALUE!</v>
      </c>
      <c r="N91" s="119" t="e">
        <f t="shared" si="17"/>
        <v>#VALUE!</v>
      </c>
      <c r="O91" s="119" t="e">
        <f t="shared" si="17"/>
        <v>#VALUE!</v>
      </c>
      <c r="P91" s="119" t="e">
        <f t="shared" si="17"/>
        <v>#VALUE!</v>
      </c>
      <c r="Q91" s="119" t="e">
        <f t="shared" si="17"/>
        <v>#VALUE!</v>
      </c>
      <c r="R91" s="119" t="e">
        <f t="shared" si="17"/>
        <v>#VALUE!</v>
      </c>
      <c r="S91" s="119" t="e">
        <f t="shared" si="17"/>
        <v>#VALUE!</v>
      </c>
      <c r="T91" s="119" t="e">
        <f t="shared" si="17"/>
        <v>#VALUE!</v>
      </c>
      <c r="U91" s="119" t="e">
        <f t="shared" si="17"/>
        <v>#VALUE!</v>
      </c>
      <c r="V91" s="119" t="e">
        <f t="shared" si="17"/>
        <v>#VALUE!</v>
      </c>
      <c r="W91" s="119" t="e">
        <f t="shared" si="17"/>
        <v>#VALUE!</v>
      </c>
      <c r="X91" s="119" t="e">
        <f t="shared" si="17"/>
        <v>#VALUE!</v>
      </c>
      <c r="Y91" s="119" t="e">
        <f t="shared" si="17"/>
        <v>#VALUE!</v>
      </c>
      <c r="Z91" s="119" t="e">
        <f t="shared" si="17"/>
        <v>#VALUE!</v>
      </c>
      <c r="AA91" s="119" t="e">
        <f t="shared" si="17"/>
        <v>#VALUE!</v>
      </c>
      <c r="AB91" s="119" t="e">
        <f t="shared" si="17"/>
        <v>#VALUE!</v>
      </c>
      <c r="AC91" s="119" t="e">
        <f t="shared" si="17"/>
        <v>#VALUE!</v>
      </c>
      <c r="AD91" s="119" t="e">
        <f t="shared" si="17"/>
        <v>#VALUE!</v>
      </c>
      <c r="AE91" s="119" t="e">
        <f t="shared" si="17"/>
        <v>#VALUE!</v>
      </c>
      <c r="AF91" s="119" t="e">
        <f t="shared" si="17"/>
        <v>#VALUE!</v>
      </c>
      <c r="AG91" s="119" t="e">
        <f t="shared" si="17"/>
        <v>#VALUE!</v>
      </c>
      <c r="AH91" s="119" t="e">
        <f t="shared" si="17"/>
        <v>#VALUE!</v>
      </c>
      <c r="AI91" s="119" t="e">
        <f t="shared" si="17"/>
        <v>#VALUE!</v>
      </c>
      <c r="AJ91" s="119" t="e">
        <f t="shared" si="17"/>
        <v>#VALUE!</v>
      </c>
      <c r="AK91" s="119" t="e">
        <f t="shared" si="17"/>
        <v>#VALUE!</v>
      </c>
      <c r="AL91" s="119" t="e">
        <f t="shared" si="17"/>
        <v>#VALUE!</v>
      </c>
      <c r="AM91" s="119" t="e">
        <f t="shared" si="17"/>
        <v>#VALUE!</v>
      </c>
      <c r="AN91" s="119" t="e">
        <f t="shared" si="17"/>
        <v>#VALUE!</v>
      </c>
      <c r="AO91" s="119" t="e">
        <f t="shared" si="17"/>
        <v>#VALUE!</v>
      </c>
      <c r="AP91" s="119" t="e">
        <f t="shared" si="17"/>
        <v>#VALUE!</v>
      </c>
      <c r="AQ91" s="119" t="e">
        <f t="shared" si="17"/>
        <v>#VALUE!</v>
      </c>
      <c r="AR91" s="119" t="e">
        <f t="shared" si="17"/>
        <v>#VALUE!</v>
      </c>
      <c r="AS91" s="119" t="e">
        <f t="shared" si="17"/>
        <v>#VALUE!</v>
      </c>
      <c r="AT91" s="119" t="e">
        <f t="shared" si="17"/>
        <v>#VALUE!</v>
      </c>
      <c r="AU91" s="119" t="e">
        <f t="shared" si="17"/>
        <v>#VALUE!</v>
      </c>
      <c r="AV91" s="119" t="e">
        <f t="shared" si="17"/>
        <v>#VALUE!</v>
      </c>
      <c r="AW91" s="119" t="e">
        <f t="shared" si="17"/>
        <v>#VALUE!</v>
      </c>
      <c r="AX91" s="119" t="e">
        <f t="shared" si="17"/>
        <v>#VALUE!</v>
      </c>
      <c r="AY91" s="119" t="e">
        <f t="shared" si="17"/>
        <v>#VALUE!</v>
      </c>
      <c r="AZ91" s="119" t="e">
        <f t="shared" si="17"/>
        <v>#VALUE!</v>
      </c>
    </row>
    <row r="92" spans="2:152" ht="18.75" customHeight="1" x14ac:dyDescent="0.15">
      <c r="C92" s="117" t="s">
        <v>295</v>
      </c>
      <c r="D92" s="118" t="s">
        <v>296</v>
      </c>
      <c r="E92" s="381" t="s">
        <v>297</v>
      </c>
      <c r="F92" s="380"/>
      <c r="G92" s="380"/>
      <c r="H92" s="119" t="e">
        <f t="shared" ref="H92:AZ92" si="18">($D$83*1000*$D$69)*$D$72</f>
        <v>#VALUE!</v>
      </c>
      <c r="I92" s="119" t="e">
        <f t="shared" si="18"/>
        <v>#VALUE!</v>
      </c>
      <c r="J92" s="119" t="e">
        <f t="shared" si="18"/>
        <v>#VALUE!</v>
      </c>
      <c r="K92" s="119" t="e">
        <f t="shared" si="18"/>
        <v>#VALUE!</v>
      </c>
      <c r="L92" s="119" t="e">
        <f t="shared" si="18"/>
        <v>#VALUE!</v>
      </c>
      <c r="M92" s="119" t="e">
        <f t="shared" si="18"/>
        <v>#VALUE!</v>
      </c>
      <c r="N92" s="119" t="e">
        <f t="shared" si="18"/>
        <v>#VALUE!</v>
      </c>
      <c r="O92" s="119" t="e">
        <f t="shared" si="18"/>
        <v>#VALUE!</v>
      </c>
      <c r="P92" s="119" t="e">
        <f t="shared" si="18"/>
        <v>#VALUE!</v>
      </c>
      <c r="Q92" s="119" t="e">
        <f t="shared" si="18"/>
        <v>#VALUE!</v>
      </c>
      <c r="R92" s="119" t="e">
        <f t="shared" si="18"/>
        <v>#VALUE!</v>
      </c>
      <c r="S92" s="119" t="e">
        <f t="shared" si="18"/>
        <v>#VALUE!</v>
      </c>
      <c r="T92" s="119" t="e">
        <f t="shared" si="18"/>
        <v>#VALUE!</v>
      </c>
      <c r="U92" s="119" t="e">
        <f t="shared" si="18"/>
        <v>#VALUE!</v>
      </c>
      <c r="V92" s="119" t="e">
        <f t="shared" si="18"/>
        <v>#VALUE!</v>
      </c>
      <c r="W92" s="119" t="e">
        <f t="shared" si="18"/>
        <v>#VALUE!</v>
      </c>
      <c r="X92" s="119" t="e">
        <f t="shared" si="18"/>
        <v>#VALUE!</v>
      </c>
      <c r="Y92" s="119" t="e">
        <f t="shared" si="18"/>
        <v>#VALUE!</v>
      </c>
      <c r="Z92" s="119" t="e">
        <f t="shared" si="18"/>
        <v>#VALUE!</v>
      </c>
      <c r="AA92" s="119" t="e">
        <f t="shared" si="18"/>
        <v>#VALUE!</v>
      </c>
      <c r="AB92" s="119" t="e">
        <f t="shared" si="18"/>
        <v>#VALUE!</v>
      </c>
      <c r="AC92" s="119" t="e">
        <f t="shared" si="18"/>
        <v>#VALUE!</v>
      </c>
      <c r="AD92" s="119" t="e">
        <f t="shared" si="18"/>
        <v>#VALUE!</v>
      </c>
      <c r="AE92" s="119" t="e">
        <f t="shared" si="18"/>
        <v>#VALUE!</v>
      </c>
      <c r="AF92" s="119" t="e">
        <f t="shared" si="18"/>
        <v>#VALUE!</v>
      </c>
      <c r="AG92" s="119" t="e">
        <f t="shared" si="18"/>
        <v>#VALUE!</v>
      </c>
      <c r="AH92" s="119" t="e">
        <f t="shared" si="18"/>
        <v>#VALUE!</v>
      </c>
      <c r="AI92" s="119" t="e">
        <f t="shared" si="18"/>
        <v>#VALUE!</v>
      </c>
      <c r="AJ92" s="119" t="e">
        <f t="shared" si="18"/>
        <v>#VALUE!</v>
      </c>
      <c r="AK92" s="119" t="e">
        <f t="shared" si="18"/>
        <v>#VALUE!</v>
      </c>
      <c r="AL92" s="119" t="e">
        <f t="shared" si="18"/>
        <v>#VALUE!</v>
      </c>
      <c r="AM92" s="119" t="e">
        <f t="shared" si="18"/>
        <v>#VALUE!</v>
      </c>
      <c r="AN92" s="119" t="e">
        <f t="shared" si="18"/>
        <v>#VALUE!</v>
      </c>
      <c r="AO92" s="119" t="e">
        <f t="shared" si="18"/>
        <v>#VALUE!</v>
      </c>
      <c r="AP92" s="119" t="e">
        <f t="shared" si="18"/>
        <v>#VALUE!</v>
      </c>
      <c r="AQ92" s="119" t="e">
        <f t="shared" si="18"/>
        <v>#VALUE!</v>
      </c>
      <c r="AR92" s="119" t="e">
        <f t="shared" si="18"/>
        <v>#VALUE!</v>
      </c>
      <c r="AS92" s="119" t="e">
        <f t="shared" si="18"/>
        <v>#VALUE!</v>
      </c>
      <c r="AT92" s="119" t="e">
        <f t="shared" si="18"/>
        <v>#VALUE!</v>
      </c>
      <c r="AU92" s="119" t="e">
        <f t="shared" si="18"/>
        <v>#VALUE!</v>
      </c>
      <c r="AV92" s="119" t="e">
        <f t="shared" si="18"/>
        <v>#VALUE!</v>
      </c>
      <c r="AW92" s="119" t="e">
        <f t="shared" si="18"/>
        <v>#VALUE!</v>
      </c>
      <c r="AX92" s="119" t="e">
        <f t="shared" si="18"/>
        <v>#VALUE!</v>
      </c>
      <c r="AY92" s="119" t="e">
        <f t="shared" si="18"/>
        <v>#VALUE!</v>
      </c>
      <c r="AZ92" s="119" t="e">
        <f t="shared" si="18"/>
        <v>#VALUE!</v>
      </c>
    </row>
    <row r="93" spans="2:152" ht="18.75" customHeight="1" x14ac:dyDescent="0.15">
      <c r="C93" s="117" t="s">
        <v>298</v>
      </c>
      <c r="D93" s="118" t="s">
        <v>299</v>
      </c>
      <c r="E93" s="381" t="s">
        <v>300</v>
      </c>
      <c r="F93" s="380"/>
      <c r="G93" s="380"/>
      <c r="H93" s="119" t="e">
        <f t="shared" ref="H93:AZ93" si="19">($D$83*1000*$D$69)*$D$73</f>
        <v>#VALUE!</v>
      </c>
      <c r="I93" s="119" t="e">
        <f t="shared" si="19"/>
        <v>#VALUE!</v>
      </c>
      <c r="J93" s="119" t="e">
        <f t="shared" si="19"/>
        <v>#VALUE!</v>
      </c>
      <c r="K93" s="119" t="e">
        <f t="shared" si="19"/>
        <v>#VALUE!</v>
      </c>
      <c r="L93" s="119" t="e">
        <f t="shared" si="19"/>
        <v>#VALUE!</v>
      </c>
      <c r="M93" s="119" t="e">
        <f t="shared" si="19"/>
        <v>#VALUE!</v>
      </c>
      <c r="N93" s="119" t="e">
        <f t="shared" si="19"/>
        <v>#VALUE!</v>
      </c>
      <c r="O93" s="119" t="e">
        <f t="shared" si="19"/>
        <v>#VALUE!</v>
      </c>
      <c r="P93" s="119" t="e">
        <f t="shared" si="19"/>
        <v>#VALUE!</v>
      </c>
      <c r="Q93" s="119" t="e">
        <f t="shared" si="19"/>
        <v>#VALUE!</v>
      </c>
      <c r="R93" s="119" t="e">
        <f t="shared" si="19"/>
        <v>#VALUE!</v>
      </c>
      <c r="S93" s="119" t="e">
        <f t="shared" si="19"/>
        <v>#VALUE!</v>
      </c>
      <c r="T93" s="119" t="e">
        <f t="shared" si="19"/>
        <v>#VALUE!</v>
      </c>
      <c r="U93" s="119" t="e">
        <f t="shared" si="19"/>
        <v>#VALUE!</v>
      </c>
      <c r="V93" s="119" t="e">
        <f t="shared" si="19"/>
        <v>#VALUE!</v>
      </c>
      <c r="W93" s="119" t="e">
        <f t="shared" si="19"/>
        <v>#VALUE!</v>
      </c>
      <c r="X93" s="119" t="e">
        <f t="shared" si="19"/>
        <v>#VALUE!</v>
      </c>
      <c r="Y93" s="119" t="e">
        <f t="shared" si="19"/>
        <v>#VALUE!</v>
      </c>
      <c r="Z93" s="119" t="e">
        <f t="shared" si="19"/>
        <v>#VALUE!</v>
      </c>
      <c r="AA93" s="119" t="e">
        <f t="shared" si="19"/>
        <v>#VALUE!</v>
      </c>
      <c r="AB93" s="119" t="e">
        <f t="shared" si="19"/>
        <v>#VALUE!</v>
      </c>
      <c r="AC93" s="119" t="e">
        <f t="shared" si="19"/>
        <v>#VALUE!</v>
      </c>
      <c r="AD93" s="119" t="e">
        <f t="shared" si="19"/>
        <v>#VALUE!</v>
      </c>
      <c r="AE93" s="119" t="e">
        <f t="shared" si="19"/>
        <v>#VALUE!</v>
      </c>
      <c r="AF93" s="119" t="e">
        <f t="shared" si="19"/>
        <v>#VALUE!</v>
      </c>
      <c r="AG93" s="119" t="e">
        <f t="shared" si="19"/>
        <v>#VALUE!</v>
      </c>
      <c r="AH93" s="119" t="e">
        <f t="shared" si="19"/>
        <v>#VALUE!</v>
      </c>
      <c r="AI93" s="119" t="e">
        <f t="shared" si="19"/>
        <v>#VALUE!</v>
      </c>
      <c r="AJ93" s="119" t="e">
        <f t="shared" si="19"/>
        <v>#VALUE!</v>
      </c>
      <c r="AK93" s="119" t="e">
        <f t="shared" si="19"/>
        <v>#VALUE!</v>
      </c>
      <c r="AL93" s="119" t="e">
        <f t="shared" si="19"/>
        <v>#VALUE!</v>
      </c>
      <c r="AM93" s="119" t="e">
        <f t="shared" si="19"/>
        <v>#VALUE!</v>
      </c>
      <c r="AN93" s="119" t="e">
        <f t="shared" si="19"/>
        <v>#VALUE!</v>
      </c>
      <c r="AO93" s="119" t="e">
        <f t="shared" si="19"/>
        <v>#VALUE!</v>
      </c>
      <c r="AP93" s="119" t="e">
        <f t="shared" si="19"/>
        <v>#VALUE!</v>
      </c>
      <c r="AQ93" s="119" t="e">
        <f t="shared" si="19"/>
        <v>#VALUE!</v>
      </c>
      <c r="AR93" s="119" t="e">
        <f t="shared" si="19"/>
        <v>#VALUE!</v>
      </c>
      <c r="AS93" s="119" t="e">
        <f t="shared" si="19"/>
        <v>#VALUE!</v>
      </c>
      <c r="AT93" s="119" t="e">
        <f t="shared" si="19"/>
        <v>#VALUE!</v>
      </c>
      <c r="AU93" s="119" t="e">
        <f t="shared" si="19"/>
        <v>#VALUE!</v>
      </c>
      <c r="AV93" s="119" t="e">
        <f t="shared" si="19"/>
        <v>#VALUE!</v>
      </c>
      <c r="AW93" s="119" t="e">
        <f t="shared" si="19"/>
        <v>#VALUE!</v>
      </c>
      <c r="AX93" s="119" t="e">
        <f t="shared" si="19"/>
        <v>#VALUE!</v>
      </c>
      <c r="AY93" s="119" t="e">
        <f t="shared" si="19"/>
        <v>#VALUE!</v>
      </c>
      <c r="AZ93" s="119" t="e">
        <f t="shared" si="19"/>
        <v>#VALUE!</v>
      </c>
    </row>
    <row r="94" spans="2:152" ht="18.75" customHeight="1" x14ac:dyDescent="0.15">
      <c r="C94" s="117" t="s">
        <v>301</v>
      </c>
      <c r="D94" s="118" t="s">
        <v>302</v>
      </c>
      <c r="E94" s="381" t="s">
        <v>303</v>
      </c>
      <c r="F94" s="380"/>
      <c r="G94" s="380"/>
      <c r="H94" s="119" t="e">
        <f t="shared" ref="H94:AZ94" si="20">$D$85*1000*$D$74</f>
        <v>#VALUE!</v>
      </c>
      <c r="I94" s="119" t="e">
        <f t="shared" si="20"/>
        <v>#VALUE!</v>
      </c>
      <c r="J94" s="119" t="e">
        <f t="shared" si="20"/>
        <v>#VALUE!</v>
      </c>
      <c r="K94" s="119" t="e">
        <f t="shared" si="20"/>
        <v>#VALUE!</v>
      </c>
      <c r="L94" s="119" t="e">
        <f t="shared" si="20"/>
        <v>#VALUE!</v>
      </c>
      <c r="M94" s="119" t="e">
        <f t="shared" si="20"/>
        <v>#VALUE!</v>
      </c>
      <c r="N94" s="119" t="e">
        <f t="shared" si="20"/>
        <v>#VALUE!</v>
      </c>
      <c r="O94" s="119" t="e">
        <f t="shared" si="20"/>
        <v>#VALUE!</v>
      </c>
      <c r="P94" s="119" t="e">
        <f t="shared" si="20"/>
        <v>#VALUE!</v>
      </c>
      <c r="Q94" s="119" t="e">
        <f t="shared" si="20"/>
        <v>#VALUE!</v>
      </c>
      <c r="R94" s="119" t="e">
        <f t="shared" si="20"/>
        <v>#VALUE!</v>
      </c>
      <c r="S94" s="119" t="e">
        <f t="shared" si="20"/>
        <v>#VALUE!</v>
      </c>
      <c r="T94" s="119" t="e">
        <f t="shared" si="20"/>
        <v>#VALUE!</v>
      </c>
      <c r="U94" s="119" t="e">
        <f t="shared" si="20"/>
        <v>#VALUE!</v>
      </c>
      <c r="V94" s="119" t="e">
        <f t="shared" si="20"/>
        <v>#VALUE!</v>
      </c>
      <c r="W94" s="119" t="e">
        <f t="shared" si="20"/>
        <v>#VALUE!</v>
      </c>
      <c r="X94" s="119" t="e">
        <f t="shared" si="20"/>
        <v>#VALUE!</v>
      </c>
      <c r="Y94" s="119" t="e">
        <f t="shared" si="20"/>
        <v>#VALUE!</v>
      </c>
      <c r="Z94" s="119" t="e">
        <f t="shared" si="20"/>
        <v>#VALUE!</v>
      </c>
      <c r="AA94" s="119" t="e">
        <f t="shared" si="20"/>
        <v>#VALUE!</v>
      </c>
      <c r="AB94" s="119" t="e">
        <f t="shared" si="20"/>
        <v>#VALUE!</v>
      </c>
      <c r="AC94" s="119" t="e">
        <f t="shared" si="20"/>
        <v>#VALUE!</v>
      </c>
      <c r="AD94" s="119" t="e">
        <f t="shared" si="20"/>
        <v>#VALUE!</v>
      </c>
      <c r="AE94" s="119" t="e">
        <f t="shared" si="20"/>
        <v>#VALUE!</v>
      </c>
      <c r="AF94" s="119" t="e">
        <f t="shared" si="20"/>
        <v>#VALUE!</v>
      </c>
      <c r="AG94" s="119" t="e">
        <f t="shared" si="20"/>
        <v>#VALUE!</v>
      </c>
      <c r="AH94" s="119" t="e">
        <f t="shared" si="20"/>
        <v>#VALUE!</v>
      </c>
      <c r="AI94" s="119" t="e">
        <f t="shared" si="20"/>
        <v>#VALUE!</v>
      </c>
      <c r="AJ94" s="119" t="e">
        <f t="shared" si="20"/>
        <v>#VALUE!</v>
      </c>
      <c r="AK94" s="119" t="e">
        <f t="shared" si="20"/>
        <v>#VALUE!</v>
      </c>
      <c r="AL94" s="119" t="e">
        <f t="shared" si="20"/>
        <v>#VALUE!</v>
      </c>
      <c r="AM94" s="119" t="e">
        <f t="shared" si="20"/>
        <v>#VALUE!</v>
      </c>
      <c r="AN94" s="119" t="e">
        <f t="shared" si="20"/>
        <v>#VALUE!</v>
      </c>
      <c r="AO94" s="119" t="e">
        <f t="shared" si="20"/>
        <v>#VALUE!</v>
      </c>
      <c r="AP94" s="119" t="e">
        <f t="shared" si="20"/>
        <v>#VALUE!</v>
      </c>
      <c r="AQ94" s="119" t="e">
        <f t="shared" si="20"/>
        <v>#VALUE!</v>
      </c>
      <c r="AR94" s="119" t="e">
        <f t="shared" si="20"/>
        <v>#VALUE!</v>
      </c>
      <c r="AS94" s="119" t="e">
        <f t="shared" si="20"/>
        <v>#VALUE!</v>
      </c>
      <c r="AT94" s="119" t="e">
        <f t="shared" si="20"/>
        <v>#VALUE!</v>
      </c>
      <c r="AU94" s="119" t="e">
        <f t="shared" si="20"/>
        <v>#VALUE!</v>
      </c>
      <c r="AV94" s="119" t="e">
        <f t="shared" si="20"/>
        <v>#VALUE!</v>
      </c>
      <c r="AW94" s="119" t="e">
        <f t="shared" si="20"/>
        <v>#VALUE!</v>
      </c>
      <c r="AX94" s="119" t="e">
        <f t="shared" si="20"/>
        <v>#VALUE!</v>
      </c>
      <c r="AY94" s="119" t="e">
        <f t="shared" si="20"/>
        <v>#VALUE!</v>
      </c>
      <c r="AZ94" s="119" t="e">
        <f t="shared" si="20"/>
        <v>#VALUE!</v>
      </c>
    </row>
    <row r="95" spans="2:152" ht="18.75" customHeight="1" x14ac:dyDescent="0.15">
      <c r="C95" s="120" t="s">
        <v>304</v>
      </c>
      <c r="D95" s="118" t="s">
        <v>305</v>
      </c>
      <c r="E95" s="379"/>
      <c r="F95" s="380"/>
      <c r="G95" s="380"/>
      <c r="H95" s="119" t="e">
        <f>H89*0.6*1/2*(0.014+0.00275)+$D$84*1000*(1/6*0.014+1/3*0.00275)</f>
        <v>#VALUE!</v>
      </c>
      <c r="I95" s="119" t="e">
        <f>I89*0.6*1/2*(0.014+0.00275)+$D$84*1000*(1/6*0.014+1/3*0.00275)</f>
        <v>#VALUE!</v>
      </c>
      <c r="J95" s="119" t="e">
        <f>J89*0.6*1/2*(0.014+0.00275)+$D$84*1000*(1/6*0.014+1/3*0.00275)</f>
        <v>#VALUE!</v>
      </c>
      <c r="K95" s="119" t="e">
        <f>K89*0.6*1/2*(0.014+0.00275)+$D$84*1000*(1/6*0.014+1/3*0.00275)</f>
        <v>#VALUE!</v>
      </c>
      <c r="L95" s="119" t="e">
        <f>L89*0.6*1/2*(0.014+0.00275)+$D$84*1000*(1/6*0.014+1/3*0.00275)</f>
        <v>#VALUE!</v>
      </c>
      <c r="M95" s="119" t="e">
        <f t="shared" ref="M95:AZ95" si="21">M89*0.6*(0.014+0.00275)+$D$84*1000*(1/6*0.014+1/3*0.00275)</f>
        <v>#VALUE!</v>
      </c>
      <c r="N95" s="119" t="e">
        <f t="shared" si="21"/>
        <v>#VALUE!</v>
      </c>
      <c r="O95" s="119" t="e">
        <f t="shared" si="21"/>
        <v>#VALUE!</v>
      </c>
      <c r="P95" s="119" t="e">
        <f t="shared" si="21"/>
        <v>#VALUE!</v>
      </c>
      <c r="Q95" s="119" t="e">
        <f t="shared" si="21"/>
        <v>#VALUE!</v>
      </c>
      <c r="R95" s="119" t="e">
        <f t="shared" si="21"/>
        <v>#VALUE!</v>
      </c>
      <c r="S95" s="119" t="e">
        <f t="shared" si="21"/>
        <v>#VALUE!</v>
      </c>
      <c r="T95" s="119" t="e">
        <f t="shared" si="21"/>
        <v>#VALUE!</v>
      </c>
      <c r="U95" s="119" t="e">
        <f t="shared" si="21"/>
        <v>#VALUE!</v>
      </c>
      <c r="V95" s="119" t="e">
        <f t="shared" si="21"/>
        <v>#VALUE!</v>
      </c>
      <c r="W95" s="119" t="e">
        <f t="shared" si="21"/>
        <v>#VALUE!</v>
      </c>
      <c r="X95" s="119" t="e">
        <f t="shared" si="21"/>
        <v>#VALUE!</v>
      </c>
      <c r="Y95" s="119" t="e">
        <f t="shared" si="21"/>
        <v>#VALUE!</v>
      </c>
      <c r="Z95" s="119" t="e">
        <f t="shared" si="21"/>
        <v>#VALUE!</v>
      </c>
      <c r="AA95" s="119" t="e">
        <f t="shared" si="21"/>
        <v>#VALUE!</v>
      </c>
      <c r="AB95" s="119" t="e">
        <f t="shared" si="21"/>
        <v>#VALUE!</v>
      </c>
      <c r="AC95" s="119" t="e">
        <f t="shared" si="21"/>
        <v>#VALUE!</v>
      </c>
      <c r="AD95" s="119" t="e">
        <f t="shared" si="21"/>
        <v>#VALUE!</v>
      </c>
      <c r="AE95" s="119" t="e">
        <f t="shared" si="21"/>
        <v>#VALUE!</v>
      </c>
      <c r="AF95" s="119" t="e">
        <f t="shared" si="21"/>
        <v>#VALUE!</v>
      </c>
      <c r="AG95" s="119" t="e">
        <f t="shared" si="21"/>
        <v>#VALUE!</v>
      </c>
      <c r="AH95" s="119" t="e">
        <f t="shared" si="21"/>
        <v>#VALUE!</v>
      </c>
      <c r="AI95" s="119" t="e">
        <f t="shared" si="21"/>
        <v>#VALUE!</v>
      </c>
      <c r="AJ95" s="119" t="e">
        <f t="shared" si="21"/>
        <v>#VALUE!</v>
      </c>
      <c r="AK95" s="119" t="e">
        <f t="shared" si="21"/>
        <v>#VALUE!</v>
      </c>
      <c r="AL95" s="119" t="e">
        <f t="shared" si="21"/>
        <v>#VALUE!</v>
      </c>
      <c r="AM95" s="119" t="e">
        <f t="shared" si="21"/>
        <v>#VALUE!</v>
      </c>
      <c r="AN95" s="119" t="e">
        <f t="shared" si="21"/>
        <v>#VALUE!</v>
      </c>
      <c r="AO95" s="119" t="e">
        <f t="shared" si="21"/>
        <v>#VALUE!</v>
      </c>
      <c r="AP95" s="119" t="e">
        <f t="shared" si="21"/>
        <v>#VALUE!</v>
      </c>
      <c r="AQ95" s="119" t="e">
        <f t="shared" si="21"/>
        <v>#VALUE!</v>
      </c>
      <c r="AR95" s="119" t="e">
        <f t="shared" si="21"/>
        <v>#VALUE!</v>
      </c>
      <c r="AS95" s="119" t="e">
        <f t="shared" si="21"/>
        <v>#VALUE!</v>
      </c>
      <c r="AT95" s="119" t="e">
        <f t="shared" si="21"/>
        <v>#VALUE!</v>
      </c>
      <c r="AU95" s="119" t="e">
        <f t="shared" si="21"/>
        <v>#VALUE!</v>
      </c>
      <c r="AV95" s="119" t="e">
        <f t="shared" si="21"/>
        <v>#VALUE!</v>
      </c>
      <c r="AW95" s="119" t="e">
        <f t="shared" si="21"/>
        <v>#VALUE!</v>
      </c>
      <c r="AX95" s="119" t="e">
        <f t="shared" si="21"/>
        <v>#VALUE!</v>
      </c>
      <c r="AY95" s="119" t="e">
        <f t="shared" si="21"/>
        <v>#VALUE!</v>
      </c>
      <c r="AZ95" s="119" t="e">
        <f t="shared" si="21"/>
        <v>#VALUE!</v>
      </c>
    </row>
    <row r="96" spans="2:152" ht="18.75" customHeight="1" x14ac:dyDescent="0.15">
      <c r="C96" s="121" t="s">
        <v>306</v>
      </c>
      <c r="D96" s="122" t="s">
        <v>307</v>
      </c>
      <c r="E96" s="370" t="s">
        <v>308</v>
      </c>
      <c r="F96" s="371"/>
      <c r="G96" s="371"/>
      <c r="H96" s="123" t="e">
        <f t="shared" ref="H96:AZ96" si="22">(H90+H91+H92+H93+H94+H95)*2/100</f>
        <v>#VALUE!</v>
      </c>
      <c r="I96" s="123" t="e">
        <f t="shared" si="22"/>
        <v>#VALUE!</v>
      </c>
      <c r="J96" s="123" t="e">
        <f t="shared" si="22"/>
        <v>#VALUE!</v>
      </c>
      <c r="K96" s="123" t="e">
        <f t="shared" si="22"/>
        <v>#VALUE!</v>
      </c>
      <c r="L96" s="123" t="e">
        <f t="shared" si="22"/>
        <v>#VALUE!</v>
      </c>
      <c r="M96" s="123" t="e">
        <f t="shared" si="22"/>
        <v>#VALUE!</v>
      </c>
      <c r="N96" s="123" t="e">
        <f t="shared" si="22"/>
        <v>#VALUE!</v>
      </c>
      <c r="O96" s="123" t="e">
        <f t="shared" si="22"/>
        <v>#VALUE!</v>
      </c>
      <c r="P96" s="123" t="e">
        <f t="shared" si="22"/>
        <v>#VALUE!</v>
      </c>
      <c r="Q96" s="123" t="e">
        <f t="shared" si="22"/>
        <v>#VALUE!</v>
      </c>
      <c r="R96" s="123" t="e">
        <f t="shared" si="22"/>
        <v>#VALUE!</v>
      </c>
      <c r="S96" s="123" t="e">
        <f t="shared" si="22"/>
        <v>#VALUE!</v>
      </c>
      <c r="T96" s="123" t="e">
        <f t="shared" si="22"/>
        <v>#VALUE!</v>
      </c>
      <c r="U96" s="123" t="e">
        <f t="shared" si="22"/>
        <v>#VALUE!</v>
      </c>
      <c r="V96" s="123" t="e">
        <f t="shared" si="22"/>
        <v>#VALUE!</v>
      </c>
      <c r="W96" s="123" t="e">
        <f t="shared" si="22"/>
        <v>#VALUE!</v>
      </c>
      <c r="X96" s="123" t="e">
        <f t="shared" si="22"/>
        <v>#VALUE!</v>
      </c>
      <c r="Y96" s="123" t="e">
        <f t="shared" si="22"/>
        <v>#VALUE!</v>
      </c>
      <c r="Z96" s="123" t="e">
        <f t="shared" si="22"/>
        <v>#VALUE!</v>
      </c>
      <c r="AA96" s="123" t="e">
        <f t="shared" si="22"/>
        <v>#VALUE!</v>
      </c>
      <c r="AB96" s="123" t="e">
        <f t="shared" si="22"/>
        <v>#VALUE!</v>
      </c>
      <c r="AC96" s="123" t="e">
        <f t="shared" si="22"/>
        <v>#VALUE!</v>
      </c>
      <c r="AD96" s="123" t="e">
        <f t="shared" si="22"/>
        <v>#VALUE!</v>
      </c>
      <c r="AE96" s="123" t="e">
        <f t="shared" si="22"/>
        <v>#VALUE!</v>
      </c>
      <c r="AF96" s="123" t="e">
        <f t="shared" si="22"/>
        <v>#VALUE!</v>
      </c>
      <c r="AG96" s="123" t="e">
        <f t="shared" si="22"/>
        <v>#VALUE!</v>
      </c>
      <c r="AH96" s="123" t="e">
        <f t="shared" si="22"/>
        <v>#VALUE!</v>
      </c>
      <c r="AI96" s="123" t="e">
        <f t="shared" si="22"/>
        <v>#VALUE!</v>
      </c>
      <c r="AJ96" s="123" t="e">
        <f t="shared" si="22"/>
        <v>#VALUE!</v>
      </c>
      <c r="AK96" s="123" t="e">
        <f t="shared" si="22"/>
        <v>#VALUE!</v>
      </c>
      <c r="AL96" s="123" t="e">
        <f t="shared" si="22"/>
        <v>#VALUE!</v>
      </c>
      <c r="AM96" s="123" t="e">
        <f t="shared" si="22"/>
        <v>#VALUE!</v>
      </c>
      <c r="AN96" s="123" t="e">
        <f t="shared" si="22"/>
        <v>#VALUE!</v>
      </c>
      <c r="AO96" s="123" t="e">
        <f t="shared" si="22"/>
        <v>#VALUE!</v>
      </c>
      <c r="AP96" s="123" t="e">
        <f t="shared" si="22"/>
        <v>#VALUE!</v>
      </c>
      <c r="AQ96" s="123" t="e">
        <f t="shared" si="22"/>
        <v>#VALUE!</v>
      </c>
      <c r="AR96" s="123" t="e">
        <f t="shared" si="22"/>
        <v>#VALUE!</v>
      </c>
      <c r="AS96" s="123" t="e">
        <f t="shared" si="22"/>
        <v>#VALUE!</v>
      </c>
      <c r="AT96" s="123" t="e">
        <f t="shared" si="22"/>
        <v>#VALUE!</v>
      </c>
      <c r="AU96" s="123" t="e">
        <f t="shared" si="22"/>
        <v>#VALUE!</v>
      </c>
      <c r="AV96" s="123" t="e">
        <f t="shared" si="22"/>
        <v>#VALUE!</v>
      </c>
      <c r="AW96" s="123" t="e">
        <f t="shared" si="22"/>
        <v>#VALUE!</v>
      </c>
      <c r="AX96" s="123" t="e">
        <f t="shared" si="22"/>
        <v>#VALUE!</v>
      </c>
      <c r="AY96" s="123" t="e">
        <f t="shared" si="22"/>
        <v>#VALUE!</v>
      </c>
      <c r="AZ96" s="123" t="e">
        <f t="shared" si="22"/>
        <v>#VALUE!</v>
      </c>
    </row>
    <row r="97" spans="2:52" s="24" customFormat="1" ht="39" customHeight="1" x14ac:dyDescent="0.15">
      <c r="C97" s="124" t="s">
        <v>309</v>
      </c>
      <c r="D97" s="125" t="s">
        <v>310</v>
      </c>
      <c r="E97" s="372" t="s">
        <v>311</v>
      </c>
      <c r="F97" s="373"/>
      <c r="G97" s="373"/>
      <c r="H97" s="126" t="e">
        <f t="shared" ref="H97:AZ97" si="23">ROUNDDOWN((H90+H91+H92+H93+H94+H95+H96)/12,-2)</f>
        <v>#VALUE!</v>
      </c>
      <c r="I97" s="127" t="e">
        <f t="shared" si="23"/>
        <v>#VALUE!</v>
      </c>
      <c r="J97" s="127" t="e">
        <f t="shared" si="23"/>
        <v>#VALUE!</v>
      </c>
      <c r="K97" s="127" t="e">
        <f t="shared" si="23"/>
        <v>#VALUE!</v>
      </c>
      <c r="L97" s="127" t="e">
        <f t="shared" si="23"/>
        <v>#VALUE!</v>
      </c>
      <c r="M97" s="127" t="e">
        <f t="shared" si="23"/>
        <v>#VALUE!</v>
      </c>
      <c r="N97" s="127" t="e">
        <f t="shared" si="23"/>
        <v>#VALUE!</v>
      </c>
      <c r="O97" s="127" t="e">
        <f t="shared" si="23"/>
        <v>#VALUE!</v>
      </c>
      <c r="P97" s="127" t="e">
        <f t="shared" si="23"/>
        <v>#VALUE!</v>
      </c>
      <c r="Q97" s="127" t="e">
        <f t="shared" si="23"/>
        <v>#VALUE!</v>
      </c>
      <c r="R97" s="127" t="e">
        <f t="shared" si="23"/>
        <v>#VALUE!</v>
      </c>
      <c r="S97" s="127" t="e">
        <f t="shared" si="23"/>
        <v>#VALUE!</v>
      </c>
      <c r="T97" s="127" t="e">
        <f t="shared" si="23"/>
        <v>#VALUE!</v>
      </c>
      <c r="U97" s="127" t="e">
        <f t="shared" si="23"/>
        <v>#VALUE!</v>
      </c>
      <c r="V97" s="127" t="e">
        <f t="shared" si="23"/>
        <v>#VALUE!</v>
      </c>
      <c r="W97" s="127" t="e">
        <f t="shared" si="23"/>
        <v>#VALUE!</v>
      </c>
      <c r="X97" s="127" t="e">
        <f t="shared" si="23"/>
        <v>#VALUE!</v>
      </c>
      <c r="Y97" s="127" t="e">
        <f t="shared" si="23"/>
        <v>#VALUE!</v>
      </c>
      <c r="Z97" s="127" t="e">
        <f t="shared" si="23"/>
        <v>#VALUE!</v>
      </c>
      <c r="AA97" s="127" t="e">
        <f t="shared" si="23"/>
        <v>#VALUE!</v>
      </c>
      <c r="AB97" s="127" t="e">
        <f t="shared" si="23"/>
        <v>#VALUE!</v>
      </c>
      <c r="AC97" s="127" t="e">
        <f t="shared" si="23"/>
        <v>#VALUE!</v>
      </c>
      <c r="AD97" s="127" t="e">
        <f t="shared" si="23"/>
        <v>#VALUE!</v>
      </c>
      <c r="AE97" s="127" t="e">
        <f t="shared" si="23"/>
        <v>#VALUE!</v>
      </c>
      <c r="AF97" s="127" t="e">
        <f t="shared" si="23"/>
        <v>#VALUE!</v>
      </c>
      <c r="AG97" s="127" t="e">
        <f t="shared" si="23"/>
        <v>#VALUE!</v>
      </c>
      <c r="AH97" s="127" t="e">
        <f t="shared" si="23"/>
        <v>#VALUE!</v>
      </c>
      <c r="AI97" s="127" t="e">
        <f t="shared" si="23"/>
        <v>#VALUE!</v>
      </c>
      <c r="AJ97" s="127" t="e">
        <f t="shared" si="23"/>
        <v>#VALUE!</v>
      </c>
      <c r="AK97" s="127" t="e">
        <f t="shared" si="23"/>
        <v>#VALUE!</v>
      </c>
      <c r="AL97" s="127" t="e">
        <f t="shared" si="23"/>
        <v>#VALUE!</v>
      </c>
      <c r="AM97" s="127" t="e">
        <f t="shared" si="23"/>
        <v>#VALUE!</v>
      </c>
      <c r="AN97" s="127" t="e">
        <f t="shared" si="23"/>
        <v>#VALUE!</v>
      </c>
      <c r="AO97" s="127" t="e">
        <f t="shared" si="23"/>
        <v>#VALUE!</v>
      </c>
      <c r="AP97" s="127" t="e">
        <f t="shared" si="23"/>
        <v>#VALUE!</v>
      </c>
      <c r="AQ97" s="127" t="e">
        <f t="shared" si="23"/>
        <v>#VALUE!</v>
      </c>
      <c r="AR97" s="127" t="e">
        <f t="shared" si="23"/>
        <v>#VALUE!</v>
      </c>
      <c r="AS97" s="127" t="e">
        <f t="shared" si="23"/>
        <v>#VALUE!</v>
      </c>
      <c r="AT97" s="127" t="e">
        <f t="shared" si="23"/>
        <v>#VALUE!</v>
      </c>
      <c r="AU97" s="127" t="e">
        <f t="shared" si="23"/>
        <v>#VALUE!</v>
      </c>
      <c r="AV97" s="127" t="e">
        <f t="shared" si="23"/>
        <v>#VALUE!</v>
      </c>
      <c r="AW97" s="127" t="e">
        <f t="shared" si="23"/>
        <v>#VALUE!</v>
      </c>
      <c r="AX97" s="127" t="e">
        <f t="shared" si="23"/>
        <v>#VALUE!</v>
      </c>
      <c r="AY97" s="127" t="e">
        <f t="shared" si="23"/>
        <v>#VALUE!</v>
      </c>
      <c r="AZ97" s="127" t="e">
        <f t="shared" si="23"/>
        <v>#VALUE!</v>
      </c>
    </row>
    <row r="98" spans="2:52" s="24" customFormat="1" ht="39" customHeight="1" x14ac:dyDescent="0.15">
      <c r="C98" s="139" t="s">
        <v>366</v>
      </c>
      <c r="D98" s="140"/>
      <c r="E98" s="370"/>
      <c r="F98" s="371"/>
      <c r="G98" s="371"/>
      <c r="H98" s="138" t="e">
        <f t="shared" ref="H98:J98" ca="1" si="24">H97-OFFSET(H$25,MATCH("●",$B$25:$B$32,0)-1,0)</f>
        <v>#VALUE!</v>
      </c>
      <c r="I98" s="138" t="e">
        <f t="shared" ca="1" si="24"/>
        <v>#VALUE!</v>
      </c>
      <c r="J98" s="138" t="e">
        <f t="shared" ca="1" si="24"/>
        <v>#VALUE!</v>
      </c>
      <c r="K98" s="138" t="e">
        <f t="shared" ref="K98:AZ98" ca="1" si="25">K97-OFFSET(K$25,MATCH("●",$B$25:$B$32,0)-1,0)</f>
        <v>#VALUE!</v>
      </c>
      <c r="L98" s="138" t="e">
        <f t="shared" ca="1" si="25"/>
        <v>#VALUE!</v>
      </c>
      <c r="M98" s="138" t="e">
        <f t="shared" ca="1" si="25"/>
        <v>#VALUE!</v>
      </c>
      <c r="N98" s="138" t="e">
        <f t="shared" ca="1" si="25"/>
        <v>#VALUE!</v>
      </c>
      <c r="O98" s="138" t="e">
        <f t="shared" ca="1" si="25"/>
        <v>#VALUE!</v>
      </c>
      <c r="P98" s="138" t="e">
        <f t="shared" ca="1" si="25"/>
        <v>#VALUE!</v>
      </c>
      <c r="Q98" s="138" t="e">
        <f t="shared" ca="1" si="25"/>
        <v>#VALUE!</v>
      </c>
      <c r="R98" s="138" t="e">
        <f t="shared" ca="1" si="25"/>
        <v>#VALUE!</v>
      </c>
      <c r="S98" s="138" t="e">
        <f t="shared" ca="1" si="25"/>
        <v>#VALUE!</v>
      </c>
      <c r="T98" s="138" t="e">
        <f t="shared" ca="1" si="25"/>
        <v>#VALUE!</v>
      </c>
      <c r="U98" s="138" t="e">
        <f t="shared" ca="1" si="25"/>
        <v>#VALUE!</v>
      </c>
      <c r="V98" s="138" t="e">
        <f t="shared" ca="1" si="25"/>
        <v>#VALUE!</v>
      </c>
      <c r="W98" s="138" t="e">
        <f t="shared" ca="1" si="25"/>
        <v>#VALUE!</v>
      </c>
      <c r="X98" s="138" t="e">
        <f t="shared" ca="1" si="25"/>
        <v>#VALUE!</v>
      </c>
      <c r="Y98" s="138" t="e">
        <f t="shared" ca="1" si="25"/>
        <v>#VALUE!</v>
      </c>
      <c r="Z98" s="138" t="e">
        <f t="shared" ca="1" si="25"/>
        <v>#VALUE!</v>
      </c>
      <c r="AA98" s="138" t="e">
        <f t="shared" ca="1" si="25"/>
        <v>#VALUE!</v>
      </c>
      <c r="AB98" s="138" t="e">
        <f t="shared" ca="1" si="25"/>
        <v>#VALUE!</v>
      </c>
      <c r="AC98" s="138" t="e">
        <f t="shared" ca="1" si="25"/>
        <v>#VALUE!</v>
      </c>
      <c r="AD98" s="138" t="e">
        <f t="shared" ca="1" si="25"/>
        <v>#VALUE!</v>
      </c>
      <c r="AE98" s="138" t="e">
        <f t="shared" ca="1" si="25"/>
        <v>#VALUE!</v>
      </c>
      <c r="AF98" s="138" t="e">
        <f t="shared" ca="1" si="25"/>
        <v>#VALUE!</v>
      </c>
      <c r="AG98" s="138" t="e">
        <f t="shared" ca="1" si="25"/>
        <v>#VALUE!</v>
      </c>
      <c r="AH98" s="138" t="e">
        <f t="shared" ca="1" si="25"/>
        <v>#VALUE!</v>
      </c>
      <c r="AI98" s="138" t="e">
        <f t="shared" ca="1" si="25"/>
        <v>#VALUE!</v>
      </c>
      <c r="AJ98" s="138" t="e">
        <f t="shared" ca="1" si="25"/>
        <v>#VALUE!</v>
      </c>
      <c r="AK98" s="138" t="e">
        <f t="shared" ca="1" si="25"/>
        <v>#VALUE!</v>
      </c>
      <c r="AL98" s="138" t="e">
        <f t="shared" ca="1" si="25"/>
        <v>#VALUE!</v>
      </c>
      <c r="AM98" s="138" t="e">
        <f t="shared" ca="1" si="25"/>
        <v>#VALUE!</v>
      </c>
      <c r="AN98" s="138" t="e">
        <f t="shared" ca="1" si="25"/>
        <v>#VALUE!</v>
      </c>
      <c r="AO98" s="138" t="e">
        <f t="shared" ca="1" si="25"/>
        <v>#VALUE!</v>
      </c>
      <c r="AP98" s="138" t="e">
        <f t="shared" ca="1" si="25"/>
        <v>#VALUE!</v>
      </c>
      <c r="AQ98" s="138" t="e">
        <f t="shared" ca="1" si="25"/>
        <v>#VALUE!</v>
      </c>
      <c r="AR98" s="138" t="e">
        <f t="shared" ca="1" si="25"/>
        <v>#VALUE!</v>
      </c>
      <c r="AS98" s="138" t="e">
        <f t="shared" ca="1" si="25"/>
        <v>#VALUE!</v>
      </c>
      <c r="AT98" s="138" t="e">
        <f t="shared" ca="1" si="25"/>
        <v>#VALUE!</v>
      </c>
      <c r="AU98" s="138" t="e">
        <f t="shared" ca="1" si="25"/>
        <v>#VALUE!</v>
      </c>
      <c r="AV98" s="138" t="e">
        <f t="shared" ca="1" si="25"/>
        <v>#VALUE!</v>
      </c>
      <c r="AW98" s="138" t="e">
        <f t="shared" ca="1" si="25"/>
        <v>#VALUE!</v>
      </c>
      <c r="AX98" s="138" t="e">
        <f t="shared" ca="1" si="25"/>
        <v>#VALUE!</v>
      </c>
      <c r="AY98" s="138" t="e">
        <f t="shared" ca="1" si="25"/>
        <v>#VALUE!</v>
      </c>
      <c r="AZ98" s="138" t="e">
        <f t="shared" ca="1" si="25"/>
        <v>#VALUE!</v>
      </c>
    </row>
    <row r="99" spans="2:52" ht="18.75" customHeight="1" x14ac:dyDescent="0.15">
      <c r="C99" s="34" t="s">
        <v>312</v>
      </c>
      <c r="D99" s="34"/>
      <c r="E99" s="34"/>
      <c r="F99" s="34"/>
      <c r="G99" s="34"/>
      <c r="H99" s="34"/>
    </row>
    <row r="100" spans="2:52" ht="18.75" customHeight="1" x14ac:dyDescent="0.15">
      <c r="C100" s="374" t="s">
        <v>355</v>
      </c>
      <c r="D100" s="375"/>
      <c r="E100" s="375"/>
      <c r="F100" s="375"/>
      <c r="G100" s="375"/>
    </row>
    <row r="101" spans="2:52" ht="18.75" customHeight="1" x14ac:dyDescent="0.15">
      <c r="C101" s="83"/>
      <c r="H101" s="83"/>
    </row>
    <row r="102" spans="2:52" ht="18.75" customHeight="1" x14ac:dyDescent="0.15">
      <c r="B102" s="143" t="s">
        <v>448</v>
      </c>
      <c r="C102" s="83"/>
      <c r="H102" s="83"/>
    </row>
    <row r="103" spans="2:52" ht="18.75" customHeight="1" x14ac:dyDescent="0.15">
      <c r="C103" s="30" t="s">
        <v>327</v>
      </c>
      <c r="D103" s="108"/>
    </row>
    <row r="104" spans="2:52" ht="18.75" customHeight="1" x14ac:dyDescent="0.15">
      <c r="C104" s="79" t="s">
        <v>212</v>
      </c>
      <c r="D104" s="100">
        <v>0.8</v>
      </c>
    </row>
    <row r="105" spans="2:52" ht="18.75" customHeight="1" x14ac:dyDescent="0.15">
      <c r="C105" s="79" t="s">
        <v>213</v>
      </c>
      <c r="D105" s="100">
        <v>0.9</v>
      </c>
    </row>
    <row r="106" spans="2:52" ht="18.75" customHeight="1" x14ac:dyDescent="0.15">
      <c r="D106" s="105"/>
    </row>
    <row r="107" spans="2:52" ht="18.75" customHeight="1" x14ac:dyDescent="0.15">
      <c r="C107" s="30" t="s">
        <v>328</v>
      </c>
      <c r="D107" s="108"/>
    </row>
    <row r="108" spans="2:52" ht="18.75" customHeight="1" x14ac:dyDescent="0.15">
      <c r="C108" s="79" t="s">
        <v>329</v>
      </c>
      <c r="D108" s="106">
        <v>70</v>
      </c>
    </row>
    <row r="109" spans="2:52" ht="18.75" customHeight="1" x14ac:dyDescent="0.15">
      <c r="C109" s="79" t="s">
        <v>330</v>
      </c>
      <c r="D109" s="106">
        <v>45</v>
      </c>
    </row>
    <row r="110" spans="2:52" ht="18.75" customHeight="1" x14ac:dyDescent="0.15">
      <c r="C110" s="79" t="s">
        <v>213</v>
      </c>
      <c r="D110" s="106">
        <v>30</v>
      </c>
    </row>
    <row r="111" spans="2:52" ht="18.75" customHeight="1" x14ac:dyDescent="0.15">
      <c r="D111" s="105"/>
    </row>
    <row r="112" spans="2:52" ht="18.75" customHeight="1" x14ac:dyDescent="0.15">
      <c r="C112" s="30" t="s">
        <v>331</v>
      </c>
      <c r="D112" s="108"/>
    </row>
    <row r="113" spans="3:4" ht="18.75" customHeight="1" x14ac:dyDescent="0.15">
      <c r="C113" s="79" t="s">
        <v>329</v>
      </c>
      <c r="D113" s="109">
        <v>1.2E-2</v>
      </c>
    </row>
    <row r="114" spans="3:4" ht="18.75" customHeight="1" x14ac:dyDescent="0.15">
      <c r="C114" s="79" t="s">
        <v>330</v>
      </c>
      <c r="D114" s="109">
        <v>1.4999999999999999E-2</v>
      </c>
    </row>
    <row r="115" spans="3:4" ht="18.75" customHeight="1" x14ac:dyDescent="0.15">
      <c r="C115" s="79" t="s">
        <v>213</v>
      </c>
      <c r="D115" s="109">
        <v>2.1999999999999999E-2</v>
      </c>
    </row>
    <row r="116" spans="3:4" ht="18.75" customHeight="1" x14ac:dyDescent="0.15">
      <c r="D116" s="105"/>
    </row>
    <row r="117" spans="3:4" ht="18.75" customHeight="1" x14ac:dyDescent="0.15">
      <c r="C117" s="30" t="s">
        <v>332</v>
      </c>
      <c r="D117" s="108"/>
    </row>
    <row r="118" spans="3:4" ht="18.75" customHeight="1" x14ac:dyDescent="0.15">
      <c r="C118" s="79" t="s">
        <v>329</v>
      </c>
      <c r="D118" s="102">
        <v>1.5E-3</v>
      </c>
    </row>
    <row r="119" spans="3:4" ht="18.75" customHeight="1" x14ac:dyDescent="0.15">
      <c r="C119" s="79" t="s">
        <v>330</v>
      </c>
      <c r="D119" s="102">
        <v>2E-3</v>
      </c>
    </row>
    <row r="120" spans="3:4" ht="18.75" customHeight="1" x14ac:dyDescent="0.15">
      <c r="C120" s="79" t="s">
        <v>213</v>
      </c>
      <c r="D120" s="102">
        <v>3.0999999999999999E-3</v>
      </c>
    </row>
    <row r="121" spans="3:4" ht="18.75" customHeight="1" x14ac:dyDescent="0.15">
      <c r="D121" s="105"/>
    </row>
    <row r="122" spans="3:4" ht="18.75" customHeight="1" x14ac:dyDescent="0.15">
      <c r="C122" s="30" t="s">
        <v>333</v>
      </c>
      <c r="D122" s="108"/>
    </row>
    <row r="123" spans="3:4" ht="18.75" customHeight="1" x14ac:dyDescent="0.15">
      <c r="C123" s="79" t="s">
        <v>329</v>
      </c>
      <c r="D123" s="103">
        <v>1.1E-4</v>
      </c>
    </row>
    <row r="124" spans="3:4" ht="18.75" customHeight="1" x14ac:dyDescent="0.15">
      <c r="C124" s="79" t="s">
        <v>330</v>
      </c>
      <c r="D124" s="103">
        <v>2.0000000000000001E-4</v>
      </c>
    </row>
    <row r="125" spans="3:4" ht="18.75" customHeight="1" x14ac:dyDescent="0.15">
      <c r="C125" s="79" t="s">
        <v>213</v>
      </c>
      <c r="D125" s="103">
        <v>2.9E-4</v>
      </c>
    </row>
    <row r="126" spans="3:4" ht="18.75" customHeight="1" x14ac:dyDescent="0.15">
      <c r="D126" s="105"/>
    </row>
    <row r="127" spans="3:4" ht="18.75" customHeight="1" x14ac:dyDescent="0.15">
      <c r="C127" s="30" t="s">
        <v>334</v>
      </c>
      <c r="D127" s="108"/>
    </row>
    <row r="128" spans="3:4" ht="18.75" customHeight="1" x14ac:dyDescent="0.15">
      <c r="C128" s="79" t="s">
        <v>329</v>
      </c>
      <c r="D128" s="104">
        <v>227</v>
      </c>
    </row>
    <row r="129" spans="3:8" ht="18.75" customHeight="1" x14ac:dyDescent="0.15">
      <c r="C129" s="79" t="s">
        <v>270</v>
      </c>
      <c r="D129" s="104">
        <v>233</v>
      </c>
    </row>
    <row r="130" spans="3:8" ht="18.75" customHeight="1" x14ac:dyDescent="0.15">
      <c r="C130" s="79" t="s">
        <v>335</v>
      </c>
      <c r="D130" s="104">
        <v>176</v>
      </c>
    </row>
    <row r="131" spans="3:8" ht="18.75" customHeight="1" x14ac:dyDescent="0.15">
      <c r="C131" s="79" t="s">
        <v>336</v>
      </c>
      <c r="D131" s="104">
        <v>223</v>
      </c>
    </row>
    <row r="132" spans="3:8" ht="18.75" customHeight="1" x14ac:dyDescent="0.15">
      <c r="C132" s="83"/>
      <c r="D132" s="83"/>
      <c r="E132" s="83"/>
      <c r="F132" s="83"/>
      <c r="G132" s="83"/>
      <c r="H132" s="83"/>
    </row>
    <row r="133" spans="3:8" ht="18.75" customHeight="1" x14ac:dyDescent="0.15"/>
    <row r="134" spans="3:8" ht="18.75" customHeight="1" x14ac:dyDescent="0.15"/>
    <row r="135" spans="3:8" ht="18.75" customHeight="1" x14ac:dyDescent="0.15"/>
    <row r="136" spans="3:8" ht="18.75" customHeight="1" x14ac:dyDescent="0.15"/>
    <row r="137" spans="3:8" ht="18.75" customHeight="1" x14ac:dyDescent="0.15"/>
    <row r="138" spans="3:8" ht="18.75" customHeight="1" x14ac:dyDescent="0.15"/>
    <row r="139" spans="3:8" ht="18.75" customHeight="1" x14ac:dyDescent="0.15"/>
    <row r="140" spans="3:8" ht="18.75" customHeight="1" x14ac:dyDescent="0.15"/>
    <row r="141" spans="3:8" ht="18.75" customHeight="1" x14ac:dyDescent="0.15"/>
    <row r="142" spans="3:8" ht="18.75" customHeight="1" x14ac:dyDescent="0.15"/>
    <row r="143" spans="3:8" ht="18.75" customHeight="1" x14ac:dyDescent="0.15"/>
    <row r="144" spans="3:8"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row r="210" ht="18.75" customHeight="1" x14ac:dyDescent="0.15"/>
    <row r="211" ht="18.75" customHeight="1" x14ac:dyDescent="0.15"/>
    <row r="212" ht="18.75" customHeight="1" x14ac:dyDescent="0.15"/>
    <row r="213" ht="18.75" customHeight="1" x14ac:dyDescent="0.15"/>
    <row r="214" ht="18.75" customHeight="1" x14ac:dyDescent="0.15"/>
    <row r="215" ht="18.75" customHeight="1" x14ac:dyDescent="0.15"/>
    <row r="216" ht="18.75" customHeight="1" x14ac:dyDescent="0.15"/>
    <row r="217" ht="18.75" customHeight="1" x14ac:dyDescent="0.15"/>
    <row r="218" ht="18.75" customHeight="1" x14ac:dyDescent="0.15"/>
    <row r="219" ht="18.75" customHeight="1" x14ac:dyDescent="0.15"/>
    <row r="220" ht="18.75" customHeight="1" x14ac:dyDescent="0.15"/>
    <row r="221" ht="18.75" customHeight="1" x14ac:dyDescent="0.15"/>
    <row r="222" ht="18.75" customHeight="1" x14ac:dyDescent="0.15"/>
    <row r="223" ht="18.75" customHeight="1" x14ac:dyDescent="0.15"/>
    <row r="224" ht="18.75" customHeight="1" x14ac:dyDescent="0.15"/>
    <row r="225" ht="18.75" customHeight="1" x14ac:dyDescent="0.15"/>
    <row r="226" ht="18.75" customHeight="1" x14ac:dyDescent="0.15"/>
    <row r="227" ht="18.75" customHeight="1" x14ac:dyDescent="0.15"/>
    <row r="228" ht="18.75" customHeight="1" x14ac:dyDescent="0.15"/>
    <row r="229" ht="18.75" customHeight="1" x14ac:dyDescent="0.15"/>
    <row r="230" ht="18.75" customHeight="1" x14ac:dyDescent="0.15"/>
    <row r="231" ht="18.75" customHeight="1" x14ac:dyDescent="0.15"/>
    <row r="232" ht="18.75" customHeight="1" x14ac:dyDescent="0.15"/>
    <row r="233" ht="18.75" customHeight="1" x14ac:dyDescent="0.15"/>
    <row r="234" ht="18.75" customHeight="1" x14ac:dyDescent="0.15"/>
    <row r="235" ht="18.75" customHeight="1" x14ac:dyDescent="0.15"/>
    <row r="236" ht="18.75" customHeight="1" x14ac:dyDescent="0.15"/>
    <row r="237" ht="18.75" customHeight="1" x14ac:dyDescent="0.15"/>
    <row r="238" ht="18.75" customHeight="1" x14ac:dyDescent="0.15"/>
    <row r="239" ht="18.75" customHeight="1" x14ac:dyDescent="0.15"/>
    <row r="240" ht="18.75" customHeight="1" x14ac:dyDescent="0.15"/>
    <row r="241" ht="18.75" customHeight="1" x14ac:dyDescent="0.15"/>
    <row r="242" ht="18.75" customHeight="1" x14ac:dyDescent="0.15"/>
    <row r="243" ht="18.75" customHeight="1" x14ac:dyDescent="0.15"/>
    <row r="244" ht="18.75" customHeight="1" x14ac:dyDescent="0.15"/>
    <row r="245" ht="18.75" customHeight="1" x14ac:dyDescent="0.15"/>
    <row r="246" ht="18.75" customHeight="1" x14ac:dyDescent="0.15"/>
    <row r="247" ht="18.75" customHeight="1" x14ac:dyDescent="0.15"/>
    <row r="248" ht="18.75" customHeight="1" x14ac:dyDescent="0.15"/>
    <row r="249" ht="18.75" customHeight="1" x14ac:dyDescent="0.15"/>
    <row r="250" ht="18.75" customHeight="1" x14ac:dyDescent="0.15"/>
    <row r="251" ht="18.75" customHeight="1" x14ac:dyDescent="0.15"/>
    <row r="252" ht="18.75" customHeight="1" x14ac:dyDescent="0.15"/>
    <row r="253" ht="18.75" customHeight="1" x14ac:dyDescent="0.15"/>
    <row r="254" ht="18.75" customHeight="1" x14ac:dyDescent="0.15"/>
    <row r="255" ht="18.75" customHeight="1" x14ac:dyDescent="0.15"/>
    <row r="256" ht="18.75" customHeight="1" x14ac:dyDescent="0.15"/>
    <row r="257" ht="18.75" customHeight="1" x14ac:dyDescent="0.15"/>
    <row r="258" ht="18.75" customHeight="1" x14ac:dyDescent="0.15"/>
    <row r="259" ht="18.75" customHeight="1" x14ac:dyDescent="0.15"/>
    <row r="260" ht="18.75" customHeight="1" x14ac:dyDescent="0.15"/>
    <row r="261" ht="18.75" customHeight="1" x14ac:dyDescent="0.15"/>
    <row r="262" ht="18.75" customHeight="1" x14ac:dyDescent="0.15"/>
    <row r="263" ht="18.75" customHeight="1" x14ac:dyDescent="0.15"/>
    <row r="264" ht="18.75" customHeight="1" x14ac:dyDescent="0.15"/>
    <row r="265" ht="18.75" customHeight="1" x14ac:dyDescent="0.15"/>
    <row r="266" ht="18.75" customHeight="1" x14ac:dyDescent="0.15"/>
    <row r="267" ht="18.75" customHeight="1" x14ac:dyDescent="0.15"/>
    <row r="268" ht="18.75" customHeight="1" x14ac:dyDescent="0.15"/>
    <row r="269" ht="18.75" customHeight="1" x14ac:dyDescent="0.15"/>
    <row r="270" ht="18.75" customHeight="1" x14ac:dyDescent="0.15"/>
    <row r="271" ht="18.75" customHeight="1" x14ac:dyDescent="0.15"/>
    <row r="272" ht="18.75" customHeight="1" x14ac:dyDescent="0.15"/>
    <row r="273" ht="18.75" customHeight="1" x14ac:dyDescent="0.15"/>
    <row r="274" ht="18.75" customHeight="1" x14ac:dyDescent="0.15"/>
    <row r="275" ht="18.75" customHeight="1" x14ac:dyDescent="0.15"/>
    <row r="276" ht="18.75" customHeight="1" x14ac:dyDescent="0.15"/>
    <row r="277" ht="18.75" customHeight="1" x14ac:dyDescent="0.15"/>
    <row r="278" ht="18.75" customHeight="1" x14ac:dyDescent="0.15"/>
    <row r="279" ht="18.75" customHeight="1" x14ac:dyDescent="0.15"/>
    <row r="280" ht="18.75" customHeight="1" x14ac:dyDescent="0.15"/>
    <row r="281" ht="18.75" customHeight="1" x14ac:dyDescent="0.15"/>
    <row r="282" ht="18.75" customHeight="1" x14ac:dyDescent="0.15"/>
    <row r="283" ht="18.75" customHeight="1" x14ac:dyDescent="0.15"/>
    <row r="284" ht="18.75" customHeight="1" x14ac:dyDescent="0.15"/>
    <row r="285" ht="18.75" customHeight="1" x14ac:dyDescent="0.15"/>
    <row r="286" ht="18.75" customHeight="1" x14ac:dyDescent="0.15"/>
    <row r="287" ht="18.75" customHeight="1" x14ac:dyDescent="0.15"/>
    <row r="288" ht="18.75" customHeight="1" x14ac:dyDescent="0.15"/>
    <row r="289" ht="18.75" customHeight="1" x14ac:dyDescent="0.15"/>
    <row r="290" ht="18.75" customHeight="1" x14ac:dyDescent="0.15"/>
    <row r="291" ht="18.75" customHeight="1" x14ac:dyDescent="0.15"/>
    <row r="292" ht="18.75" customHeight="1" x14ac:dyDescent="0.15"/>
    <row r="293" ht="18.75" customHeight="1" x14ac:dyDescent="0.15"/>
    <row r="294" ht="18.75" customHeight="1" x14ac:dyDescent="0.15"/>
    <row r="295" ht="18.75" customHeight="1" x14ac:dyDescent="0.15"/>
    <row r="296" ht="18.75" customHeight="1" x14ac:dyDescent="0.15"/>
    <row r="297" ht="18.75" customHeight="1" x14ac:dyDescent="0.15"/>
    <row r="298" ht="18.75" customHeight="1" x14ac:dyDescent="0.15"/>
    <row r="299" ht="18.75" customHeight="1" x14ac:dyDescent="0.15"/>
    <row r="300" ht="18.75" customHeight="1" x14ac:dyDescent="0.15"/>
    <row r="301" ht="18.75" customHeight="1" x14ac:dyDescent="0.15"/>
    <row r="302" ht="18.75" customHeight="1" x14ac:dyDescent="0.15"/>
    <row r="303" ht="18.75" customHeight="1" x14ac:dyDescent="0.15"/>
    <row r="304" ht="18.75" customHeight="1" x14ac:dyDescent="0.15"/>
    <row r="305" ht="18.75" customHeight="1" x14ac:dyDescent="0.15"/>
    <row r="306" ht="18.75" customHeight="1" x14ac:dyDescent="0.15"/>
    <row r="307" ht="18.75" customHeight="1" x14ac:dyDescent="0.15"/>
    <row r="308" ht="18.75" customHeight="1" x14ac:dyDescent="0.15"/>
    <row r="309" ht="18.75" customHeight="1" x14ac:dyDescent="0.15"/>
    <row r="310" ht="18.75" customHeight="1" x14ac:dyDescent="0.15"/>
    <row r="311" ht="18.75" customHeight="1" x14ac:dyDescent="0.15"/>
    <row r="312" ht="18.75" customHeight="1" x14ac:dyDescent="0.15"/>
    <row r="313" ht="18.75" customHeight="1" x14ac:dyDescent="0.15"/>
    <row r="314" ht="18.75" customHeight="1" x14ac:dyDescent="0.15"/>
    <row r="315" ht="18.75" customHeight="1" x14ac:dyDescent="0.15"/>
    <row r="316" ht="18.75" customHeight="1" x14ac:dyDescent="0.15"/>
    <row r="317" ht="18.75" customHeight="1" x14ac:dyDescent="0.15"/>
    <row r="318" ht="18.75" customHeight="1" x14ac:dyDescent="0.15"/>
    <row r="319" ht="18.75" customHeight="1" x14ac:dyDescent="0.15"/>
    <row r="320" ht="18.75" customHeight="1" x14ac:dyDescent="0.15"/>
    <row r="321" ht="18.75" customHeight="1" x14ac:dyDescent="0.15"/>
    <row r="322" ht="18.75" customHeight="1" x14ac:dyDescent="0.15"/>
    <row r="323" ht="18.75" customHeight="1" x14ac:dyDescent="0.15"/>
    <row r="324" ht="18.75" customHeight="1" x14ac:dyDescent="0.15"/>
    <row r="325" ht="18.75" customHeight="1" x14ac:dyDescent="0.15"/>
    <row r="326" ht="18.75" customHeight="1" x14ac:dyDescent="0.15"/>
    <row r="327" ht="18.75" customHeight="1" x14ac:dyDescent="0.15"/>
    <row r="328" ht="18.75" customHeight="1" x14ac:dyDescent="0.15"/>
    <row r="329" ht="18.75" customHeight="1" x14ac:dyDescent="0.15"/>
    <row r="330" ht="18.75" customHeight="1" x14ac:dyDescent="0.15"/>
    <row r="331" ht="18.75" customHeight="1" x14ac:dyDescent="0.15"/>
    <row r="332" ht="18.75" customHeight="1" x14ac:dyDescent="0.15"/>
    <row r="333" ht="18.75" customHeight="1" x14ac:dyDescent="0.15"/>
    <row r="334" ht="18.75" customHeight="1" x14ac:dyDescent="0.15"/>
    <row r="335" ht="18.75" customHeight="1" x14ac:dyDescent="0.15"/>
    <row r="336" ht="18.75" customHeight="1" x14ac:dyDescent="0.15"/>
    <row r="337" ht="18.75" customHeight="1" x14ac:dyDescent="0.15"/>
    <row r="338" ht="18.75" customHeight="1" x14ac:dyDescent="0.15"/>
    <row r="339" ht="18.75" customHeight="1" x14ac:dyDescent="0.15"/>
    <row r="340" ht="18.75" customHeight="1" x14ac:dyDescent="0.15"/>
    <row r="341" ht="18.75" customHeight="1" x14ac:dyDescent="0.15"/>
    <row r="342" ht="18.75" customHeight="1" x14ac:dyDescent="0.15"/>
    <row r="343" ht="18.75" customHeight="1" x14ac:dyDescent="0.15"/>
    <row r="344" ht="18.75" customHeight="1" x14ac:dyDescent="0.15"/>
    <row r="345" ht="18.75" customHeight="1" x14ac:dyDescent="0.15"/>
    <row r="346" ht="18.75" customHeight="1" x14ac:dyDescent="0.15"/>
    <row r="347" ht="18.75" customHeight="1" x14ac:dyDescent="0.15"/>
    <row r="348" ht="18.75" customHeight="1" x14ac:dyDescent="0.15"/>
    <row r="349" ht="18.75" customHeight="1" x14ac:dyDescent="0.15"/>
    <row r="350" ht="18.75" customHeight="1" x14ac:dyDescent="0.15"/>
    <row r="351" ht="18.75" customHeight="1" x14ac:dyDescent="0.15"/>
    <row r="352" ht="18.75" customHeight="1" x14ac:dyDescent="0.15"/>
    <row r="353" ht="18.75" customHeight="1" x14ac:dyDescent="0.15"/>
    <row r="354" ht="18.75" customHeight="1" x14ac:dyDescent="0.15"/>
    <row r="355" ht="18.75" customHeight="1" x14ac:dyDescent="0.15"/>
    <row r="356" ht="18.75" customHeight="1" x14ac:dyDescent="0.15"/>
    <row r="357" ht="18.75" customHeight="1" x14ac:dyDescent="0.15"/>
    <row r="358" ht="18.75" customHeight="1" x14ac:dyDescent="0.15"/>
    <row r="359" ht="18.75" customHeight="1" x14ac:dyDescent="0.15"/>
    <row r="360" ht="18.75" customHeight="1" x14ac:dyDescent="0.15"/>
    <row r="361" ht="18.75" customHeight="1" x14ac:dyDescent="0.15"/>
    <row r="362" ht="18.75" customHeight="1" x14ac:dyDescent="0.15"/>
    <row r="363" ht="18.75" customHeight="1" x14ac:dyDescent="0.15"/>
    <row r="364" ht="18.75" customHeight="1" x14ac:dyDescent="0.15"/>
    <row r="365" ht="18.75" customHeight="1" x14ac:dyDescent="0.15"/>
    <row r="366" ht="18.75" customHeight="1" x14ac:dyDescent="0.15"/>
    <row r="367" ht="18.75" customHeight="1" x14ac:dyDescent="0.15"/>
    <row r="368" ht="18.75" customHeight="1" x14ac:dyDescent="0.15"/>
    <row r="369" ht="18.75" customHeight="1" x14ac:dyDescent="0.15"/>
    <row r="370" ht="18.75" customHeight="1" x14ac:dyDescent="0.15"/>
    <row r="371" ht="18.75" customHeight="1" x14ac:dyDescent="0.15"/>
    <row r="372" ht="18.75" customHeight="1" x14ac:dyDescent="0.15"/>
    <row r="373" ht="18.75" customHeight="1" x14ac:dyDescent="0.15"/>
    <row r="374" ht="18.75" customHeight="1" x14ac:dyDescent="0.15"/>
    <row r="375" ht="18.75" customHeight="1" x14ac:dyDescent="0.15"/>
    <row r="376" ht="18.75" customHeight="1" x14ac:dyDescent="0.15"/>
    <row r="377" ht="18.75" customHeight="1" x14ac:dyDescent="0.15"/>
    <row r="378" ht="18.75" customHeight="1" x14ac:dyDescent="0.15"/>
    <row r="379" ht="18.75" customHeight="1" x14ac:dyDescent="0.15"/>
    <row r="380" ht="18.75" customHeight="1" x14ac:dyDescent="0.15"/>
    <row r="381" ht="18.75" customHeight="1" x14ac:dyDescent="0.15"/>
    <row r="382" ht="18.75" customHeight="1" x14ac:dyDescent="0.15"/>
    <row r="383" ht="18.75" customHeight="1" x14ac:dyDescent="0.15"/>
    <row r="384" ht="18.75" customHeight="1" x14ac:dyDescent="0.15"/>
    <row r="385" ht="18.75" customHeight="1" x14ac:dyDescent="0.15"/>
    <row r="386" ht="18.75" customHeight="1" x14ac:dyDescent="0.15"/>
    <row r="387" ht="18.75" customHeight="1" x14ac:dyDescent="0.15"/>
    <row r="388" ht="18.75" customHeight="1" x14ac:dyDescent="0.15"/>
    <row r="389" ht="18.75" customHeight="1" x14ac:dyDescent="0.15"/>
    <row r="390" ht="18.75" customHeight="1" x14ac:dyDescent="0.15"/>
    <row r="391" ht="18.75" customHeight="1" x14ac:dyDescent="0.15"/>
    <row r="392" ht="18.75" customHeight="1" x14ac:dyDescent="0.15"/>
    <row r="393" ht="18.75" customHeight="1" x14ac:dyDescent="0.15"/>
    <row r="394" ht="18.75" customHeight="1" x14ac:dyDescent="0.15"/>
    <row r="395" ht="18.75" customHeight="1" x14ac:dyDescent="0.15"/>
    <row r="396" ht="18.75" customHeight="1" x14ac:dyDescent="0.15"/>
    <row r="397" ht="18.75" customHeight="1" x14ac:dyDescent="0.15"/>
    <row r="398" ht="18.75" customHeight="1" x14ac:dyDescent="0.15"/>
    <row r="399" ht="18.75" customHeight="1" x14ac:dyDescent="0.15"/>
    <row r="400" ht="18.75" customHeight="1" x14ac:dyDescent="0.15"/>
    <row r="401" ht="18.75" customHeight="1" x14ac:dyDescent="0.15"/>
    <row r="402" ht="18.75" customHeight="1" x14ac:dyDescent="0.15"/>
    <row r="403" ht="18.75" customHeight="1" x14ac:dyDescent="0.15"/>
    <row r="404" ht="18.75" customHeight="1" x14ac:dyDescent="0.15"/>
    <row r="405" ht="18.75" customHeight="1" x14ac:dyDescent="0.15"/>
    <row r="406" ht="18.75" customHeight="1" x14ac:dyDescent="0.15"/>
    <row r="407" ht="18.75" customHeight="1" x14ac:dyDescent="0.15"/>
    <row r="408" ht="18.75" customHeight="1" x14ac:dyDescent="0.15"/>
    <row r="409" ht="18.75" customHeight="1" x14ac:dyDescent="0.15"/>
    <row r="410" ht="18.75" customHeight="1" x14ac:dyDescent="0.15"/>
    <row r="411" ht="18.75" customHeight="1" x14ac:dyDescent="0.15"/>
    <row r="412" ht="18.75" customHeight="1" x14ac:dyDescent="0.15"/>
    <row r="413" ht="18.75" customHeight="1" x14ac:dyDescent="0.15"/>
    <row r="414" ht="18.75" customHeight="1" x14ac:dyDescent="0.15"/>
    <row r="415" ht="18.75" customHeight="1" x14ac:dyDescent="0.15"/>
    <row r="416" ht="18.75" customHeight="1" x14ac:dyDescent="0.15"/>
    <row r="417" ht="18.75" customHeight="1" x14ac:dyDescent="0.15"/>
    <row r="418" ht="18.75" customHeight="1" x14ac:dyDescent="0.15"/>
    <row r="419" ht="18.75" customHeight="1" x14ac:dyDescent="0.15"/>
    <row r="420" ht="18.75" customHeight="1" x14ac:dyDescent="0.15"/>
    <row r="421" ht="18.75" customHeight="1" x14ac:dyDescent="0.15"/>
    <row r="422" ht="18.75" customHeight="1" x14ac:dyDescent="0.15"/>
    <row r="423" ht="18.75" customHeight="1" x14ac:dyDescent="0.15"/>
    <row r="424" ht="18.75" customHeight="1" x14ac:dyDescent="0.15"/>
    <row r="425" ht="18.75" customHeight="1" x14ac:dyDescent="0.15"/>
    <row r="426" ht="18.75" customHeight="1" x14ac:dyDescent="0.15"/>
    <row r="427" ht="18.75" customHeight="1" x14ac:dyDescent="0.15"/>
    <row r="428" ht="18.75" customHeight="1" x14ac:dyDescent="0.15"/>
    <row r="429" ht="18.75" customHeight="1" x14ac:dyDescent="0.15"/>
    <row r="430" ht="18.75" customHeight="1" x14ac:dyDescent="0.15"/>
    <row r="431" ht="18.75" customHeight="1" x14ac:dyDescent="0.15"/>
    <row r="432" ht="18.75" customHeight="1" x14ac:dyDescent="0.15"/>
    <row r="433" ht="18.75" customHeight="1" x14ac:dyDescent="0.15"/>
    <row r="434" ht="18.75" customHeight="1" x14ac:dyDescent="0.15"/>
    <row r="435" ht="18.75" customHeight="1" x14ac:dyDescent="0.15"/>
    <row r="436" ht="18.75" customHeight="1" x14ac:dyDescent="0.15"/>
    <row r="437" ht="18.75" customHeight="1" x14ac:dyDescent="0.15"/>
    <row r="438" ht="18.75" customHeight="1" x14ac:dyDescent="0.15"/>
    <row r="439" ht="18.75" customHeight="1" x14ac:dyDescent="0.15"/>
    <row r="440" ht="18.75" customHeight="1" x14ac:dyDescent="0.15"/>
    <row r="441" ht="18.75" customHeight="1" x14ac:dyDescent="0.15"/>
    <row r="442" ht="18.75" customHeight="1" x14ac:dyDescent="0.15"/>
    <row r="443" ht="18.75" customHeight="1" x14ac:dyDescent="0.15"/>
    <row r="444" ht="18.75" customHeight="1" x14ac:dyDescent="0.15"/>
    <row r="445" ht="18.75" customHeight="1" x14ac:dyDescent="0.15"/>
    <row r="446" ht="18.75" customHeight="1" x14ac:dyDescent="0.15"/>
    <row r="447" ht="18.75" customHeight="1" x14ac:dyDescent="0.15"/>
    <row r="448" ht="18.75" customHeight="1" x14ac:dyDescent="0.15"/>
    <row r="449" ht="18.75" customHeight="1" x14ac:dyDescent="0.15"/>
    <row r="450" ht="18.75" customHeight="1" x14ac:dyDescent="0.15"/>
    <row r="451" ht="18.75" customHeight="1" x14ac:dyDescent="0.15"/>
    <row r="452" ht="18.75" customHeight="1" x14ac:dyDescent="0.15"/>
    <row r="453" ht="18.75" customHeight="1" x14ac:dyDescent="0.15"/>
    <row r="454" ht="18.75" customHeight="1" x14ac:dyDescent="0.15"/>
    <row r="455" ht="18.75" customHeight="1" x14ac:dyDescent="0.15"/>
    <row r="456" ht="18.75" customHeight="1" x14ac:dyDescent="0.15"/>
    <row r="457" ht="18.75" customHeight="1" x14ac:dyDescent="0.15"/>
    <row r="458" ht="18.75" customHeight="1" x14ac:dyDescent="0.15"/>
    <row r="459" ht="18.75" customHeight="1" x14ac:dyDescent="0.15"/>
    <row r="460" ht="18.75" customHeight="1" x14ac:dyDescent="0.15"/>
    <row r="461" ht="18.75" customHeight="1" x14ac:dyDescent="0.15"/>
    <row r="462" ht="18.75" customHeight="1" x14ac:dyDescent="0.15"/>
    <row r="463" ht="18.75" customHeight="1" x14ac:dyDescent="0.15"/>
    <row r="464" ht="18.75" customHeight="1" x14ac:dyDescent="0.15"/>
    <row r="465" ht="18.75" customHeight="1" x14ac:dyDescent="0.15"/>
    <row r="466" ht="18.75" customHeight="1" x14ac:dyDescent="0.15"/>
    <row r="467" ht="18.75" customHeight="1" x14ac:dyDescent="0.15"/>
    <row r="468" ht="18.75" customHeight="1" x14ac:dyDescent="0.15"/>
    <row r="469" ht="18.75" customHeight="1" x14ac:dyDescent="0.15"/>
    <row r="470" ht="18.75" customHeight="1" x14ac:dyDescent="0.15"/>
    <row r="471" ht="18.75" customHeight="1" x14ac:dyDescent="0.15"/>
    <row r="472" ht="18.75" customHeight="1" x14ac:dyDescent="0.15"/>
    <row r="473" ht="18.75" customHeight="1" x14ac:dyDescent="0.15"/>
    <row r="474" ht="18.75" customHeight="1" x14ac:dyDescent="0.15"/>
    <row r="475" ht="18.75" customHeight="1" x14ac:dyDescent="0.15"/>
    <row r="476" ht="18.75" customHeight="1" x14ac:dyDescent="0.15"/>
    <row r="477" ht="18.75" customHeight="1" x14ac:dyDescent="0.15"/>
    <row r="478" ht="18.75" customHeight="1" x14ac:dyDescent="0.15"/>
    <row r="479" ht="18.75" customHeight="1" x14ac:dyDescent="0.15"/>
    <row r="480" ht="18.75" customHeight="1" x14ac:dyDescent="0.15"/>
    <row r="481" ht="18.75" customHeight="1" x14ac:dyDescent="0.15"/>
    <row r="482" ht="18.75" customHeight="1" x14ac:dyDescent="0.15"/>
    <row r="483" ht="18.75" customHeight="1" x14ac:dyDescent="0.15"/>
    <row r="484" ht="18.75" customHeight="1" x14ac:dyDescent="0.15"/>
    <row r="485" ht="18.75" customHeight="1" x14ac:dyDescent="0.15"/>
    <row r="486" ht="18.75" customHeight="1" x14ac:dyDescent="0.15"/>
    <row r="487" ht="18.75" customHeight="1" x14ac:dyDescent="0.15"/>
    <row r="488" ht="18.75" customHeight="1" x14ac:dyDescent="0.15"/>
    <row r="489" ht="18.75" customHeight="1" x14ac:dyDescent="0.15"/>
    <row r="490" ht="18.75" customHeight="1" x14ac:dyDescent="0.15"/>
    <row r="491" ht="18.75" customHeight="1" x14ac:dyDescent="0.15"/>
    <row r="492" ht="18.75" customHeight="1" x14ac:dyDescent="0.15"/>
    <row r="493" ht="18.75" customHeight="1" x14ac:dyDescent="0.15"/>
    <row r="494" ht="18.75" customHeight="1" x14ac:dyDescent="0.15"/>
    <row r="495" ht="18.75" customHeight="1" x14ac:dyDescent="0.15"/>
    <row r="496" ht="18.75" customHeight="1" x14ac:dyDescent="0.15"/>
    <row r="497" ht="18.75" customHeight="1" x14ac:dyDescent="0.15"/>
    <row r="498" ht="18.75" customHeight="1" x14ac:dyDescent="0.15"/>
    <row r="499" ht="18.75" customHeight="1" x14ac:dyDescent="0.15"/>
    <row r="500" ht="18.75" customHeight="1" x14ac:dyDescent="0.15"/>
    <row r="501" ht="18.75" customHeight="1" x14ac:dyDescent="0.15"/>
    <row r="502" ht="18.75" customHeight="1" x14ac:dyDescent="0.15"/>
    <row r="503" ht="18.75" customHeight="1" x14ac:dyDescent="0.15"/>
    <row r="504" ht="18.75" customHeight="1" x14ac:dyDescent="0.15"/>
    <row r="505" ht="18.75" customHeight="1" x14ac:dyDescent="0.15"/>
    <row r="506" ht="18.75" customHeight="1" x14ac:dyDescent="0.15"/>
    <row r="507" ht="18.75" customHeight="1" x14ac:dyDescent="0.15"/>
    <row r="508" ht="18.75" customHeight="1" x14ac:dyDescent="0.15"/>
    <row r="509" ht="18.75" customHeight="1" x14ac:dyDescent="0.15"/>
    <row r="510" ht="18.75" customHeight="1" x14ac:dyDescent="0.15"/>
    <row r="511" ht="18.75" customHeight="1" x14ac:dyDescent="0.15"/>
    <row r="512" ht="18.75" customHeight="1" x14ac:dyDescent="0.15"/>
    <row r="513" ht="18.75" customHeight="1" x14ac:dyDescent="0.15"/>
    <row r="514" ht="18.75" customHeight="1" x14ac:dyDescent="0.15"/>
    <row r="515" ht="18.75" customHeight="1" x14ac:dyDescent="0.15"/>
    <row r="516" ht="18.75" customHeight="1" x14ac:dyDescent="0.15"/>
    <row r="517" ht="18.75" customHeight="1" x14ac:dyDescent="0.15"/>
    <row r="518" ht="18.75" customHeight="1" x14ac:dyDescent="0.15"/>
    <row r="519" ht="18.75" customHeight="1" x14ac:dyDescent="0.15"/>
    <row r="520" ht="18.75" customHeight="1" x14ac:dyDescent="0.15"/>
    <row r="521" ht="18.75" customHeight="1" x14ac:dyDescent="0.15"/>
    <row r="522" ht="18.75" customHeight="1" x14ac:dyDescent="0.15"/>
    <row r="523" ht="18.75" customHeight="1" x14ac:dyDescent="0.15"/>
    <row r="524" ht="18.75" customHeight="1" x14ac:dyDescent="0.15"/>
    <row r="525" ht="18.75" customHeight="1" x14ac:dyDescent="0.15"/>
    <row r="526" ht="18.75" customHeight="1" x14ac:dyDescent="0.15"/>
    <row r="527" ht="18.75" customHeight="1" x14ac:dyDescent="0.15"/>
    <row r="528" ht="18.75" customHeight="1" x14ac:dyDescent="0.15"/>
    <row r="529" ht="18.75" customHeight="1" x14ac:dyDescent="0.15"/>
    <row r="530" ht="18.75" customHeight="1" x14ac:dyDescent="0.15"/>
    <row r="531" ht="18.75" customHeight="1" x14ac:dyDescent="0.15"/>
    <row r="532" ht="18.75" customHeight="1" x14ac:dyDescent="0.15"/>
    <row r="533" ht="18.75" customHeight="1" x14ac:dyDescent="0.15"/>
    <row r="534" ht="18.75" customHeight="1" x14ac:dyDescent="0.15"/>
    <row r="535" ht="18.75" customHeight="1" x14ac:dyDescent="0.15"/>
    <row r="536" ht="18.75" customHeight="1" x14ac:dyDescent="0.15"/>
    <row r="537" ht="18.75" customHeight="1" x14ac:dyDescent="0.15"/>
    <row r="538" ht="18.75" customHeight="1" x14ac:dyDescent="0.15"/>
    <row r="539" ht="18.75" customHeight="1" x14ac:dyDescent="0.15"/>
    <row r="540" ht="18.75" customHeight="1" x14ac:dyDescent="0.15"/>
    <row r="541" ht="18.75" customHeight="1" x14ac:dyDescent="0.15"/>
    <row r="542" ht="18.75" customHeight="1" x14ac:dyDescent="0.15"/>
    <row r="543" ht="18.75" customHeight="1" x14ac:dyDescent="0.15"/>
    <row r="544" ht="18.75" customHeight="1" x14ac:dyDescent="0.15"/>
    <row r="545" ht="18.75" customHeight="1" x14ac:dyDescent="0.15"/>
    <row r="546" ht="18.75" customHeight="1" x14ac:dyDescent="0.15"/>
    <row r="547" ht="18.75" customHeight="1" x14ac:dyDescent="0.15"/>
    <row r="548" ht="18.75" customHeight="1" x14ac:dyDescent="0.15"/>
    <row r="549" ht="18.75" customHeight="1" x14ac:dyDescent="0.15"/>
    <row r="550" ht="18.75" customHeight="1" x14ac:dyDescent="0.15"/>
    <row r="551" ht="18.75" customHeight="1" x14ac:dyDescent="0.15"/>
    <row r="552" ht="18.75" customHeight="1" x14ac:dyDescent="0.15"/>
    <row r="553" ht="18.75" customHeight="1" x14ac:dyDescent="0.15"/>
    <row r="554" ht="18.75" customHeight="1" x14ac:dyDescent="0.15"/>
    <row r="555" ht="18.75" customHeight="1" x14ac:dyDescent="0.15"/>
    <row r="556" ht="18.75" customHeight="1" x14ac:dyDescent="0.15"/>
    <row r="557" ht="18.75" customHeight="1" x14ac:dyDescent="0.15"/>
    <row r="558" ht="18.75" customHeight="1" x14ac:dyDescent="0.15"/>
    <row r="559" ht="18.75" customHeight="1" x14ac:dyDescent="0.15"/>
    <row r="560" ht="18.75" customHeight="1" x14ac:dyDescent="0.15"/>
    <row r="561" ht="18.75" customHeight="1" x14ac:dyDescent="0.15"/>
    <row r="562" ht="18.75" customHeight="1" x14ac:dyDescent="0.15"/>
    <row r="563" ht="18.75" customHeight="1" x14ac:dyDescent="0.15"/>
    <row r="564" ht="18.75" customHeight="1" x14ac:dyDescent="0.15"/>
    <row r="565" ht="18.75" customHeight="1" x14ac:dyDescent="0.15"/>
    <row r="566" ht="18.75" customHeight="1" x14ac:dyDescent="0.15"/>
    <row r="567" ht="18.75" customHeight="1" x14ac:dyDescent="0.15"/>
    <row r="568" ht="18.75" customHeight="1" x14ac:dyDescent="0.15"/>
    <row r="569" ht="18.75" customHeight="1" x14ac:dyDescent="0.15"/>
    <row r="570" ht="18.75" customHeight="1" x14ac:dyDescent="0.15"/>
    <row r="571" ht="18.75" customHeight="1" x14ac:dyDescent="0.15"/>
    <row r="572" ht="18.75" customHeight="1" x14ac:dyDescent="0.15"/>
    <row r="573" ht="18.75" customHeight="1" x14ac:dyDescent="0.15"/>
    <row r="574" ht="18.75" customHeight="1" x14ac:dyDescent="0.15"/>
    <row r="575" ht="18.75" customHeight="1" x14ac:dyDescent="0.15"/>
    <row r="576" ht="18.75" customHeight="1" x14ac:dyDescent="0.15"/>
    <row r="577" ht="18.75" customHeight="1" x14ac:dyDescent="0.15"/>
    <row r="578" ht="18.75" customHeight="1" x14ac:dyDescent="0.15"/>
    <row r="579" ht="18.75" customHeight="1" x14ac:dyDescent="0.15"/>
    <row r="580" ht="18.75" customHeight="1" x14ac:dyDescent="0.15"/>
    <row r="581" ht="18.75" customHeight="1" x14ac:dyDescent="0.15"/>
    <row r="582" ht="18.75" customHeight="1" x14ac:dyDescent="0.15"/>
    <row r="583" ht="18.75" customHeight="1" x14ac:dyDescent="0.15"/>
    <row r="584" ht="18.75" customHeight="1" x14ac:dyDescent="0.15"/>
    <row r="585" ht="18.75" customHeight="1" x14ac:dyDescent="0.15"/>
    <row r="586" ht="18.75" customHeight="1" x14ac:dyDescent="0.15"/>
    <row r="587" ht="18.75" customHeight="1" x14ac:dyDescent="0.15"/>
    <row r="588" ht="18.75" customHeight="1" x14ac:dyDescent="0.15"/>
    <row r="589" ht="18.75" customHeight="1" x14ac:dyDescent="0.15"/>
    <row r="590" ht="18.75" customHeight="1" x14ac:dyDescent="0.15"/>
    <row r="591" ht="18.75" customHeight="1" x14ac:dyDescent="0.15"/>
    <row r="592" ht="18.75" customHeight="1" x14ac:dyDescent="0.15"/>
    <row r="593" ht="18.75" customHeight="1" x14ac:dyDescent="0.15"/>
    <row r="594" ht="18.75" customHeight="1" x14ac:dyDescent="0.15"/>
    <row r="595" ht="18.75" customHeight="1" x14ac:dyDescent="0.15"/>
    <row r="596" ht="18.75" customHeight="1" x14ac:dyDescent="0.15"/>
    <row r="597" ht="18.75" customHeight="1" x14ac:dyDescent="0.15"/>
    <row r="598" ht="18.75" customHeight="1" x14ac:dyDescent="0.15"/>
    <row r="599" ht="18.75" customHeight="1" x14ac:dyDescent="0.15"/>
    <row r="600" ht="18.75" customHeight="1" x14ac:dyDescent="0.15"/>
    <row r="601" ht="18.75" customHeight="1" x14ac:dyDescent="0.15"/>
    <row r="602" ht="18.75" customHeight="1" x14ac:dyDescent="0.15"/>
    <row r="603" ht="18.75" customHeight="1" x14ac:dyDescent="0.15"/>
    <row r="604" ht="18.75" customHeight="1" x14ac:dyDescent="0.15"/>
    <row r="605" ht="18.75" customHeight="1" x14ac:dyDescent="0.15"/>
    <row r="606" ht="18.75" customHeight="1" x14ac:dyDescent="0.15"/>
    <row r="607" ht="18.75" customHeight="1" x14ac:dyDescent="0.15"/>
    <row r="608" ht="18.75" customHeight="1" x14ac:dyDescent="0.15"/>
    <row r="609" ht="18.75" customHeight="1" x14ac:dyDescent="0.15"/>
    <row r="610" ht="18.75" customHeight="1" x14ac:dyDescent="0.15"/>
    <row r="611" ht="18.75" customHeight="1" x14ac:dyDescent="0.15"/>
    <row r="612" ht="18.75" customHeight="1" x14ac:dyDescent="0.15"/>
    <row r="613" ht="18.75" customHeight="1" x14ac:dyDescent="0.15"/>
    <row r="614" ht="18.75" customHeight="1" x14ac:dyDescent="0.15"/>
    <row r="615" ht="18.75" customHeight="1" x14ac:dyDescent="0.15"/>
    <row r="616" ht="18.75" customHeight="1" x14ac:dyDescent="0.15"/>
    <row r="617" ht="18.75" customHeight="1" x14ac:dyDescent="0.15"/>
    <row r="618" ht="18.75" customHeight="1" x14ac:dyDescent="0.15"/>
    <row r="619" ht="18.75" customHeight="1" x14ac:dyDescent="0.15"/>
    <row r="620" ht="18.75" customHeight="1" x14ac:dyDescent="0.15"/>
    <row r="621" ht="18.75" customHeight="1" x14ac:dyDescent="0.15"/>
    <row r="622" ht="18.75" customHeight="1" x14ac:dyDescent="0.15"/>
    <row r="623" ht="18.75" customHeight="1" x14ac:dyDescent="0.15"/>
    <row r="624" ht="18.75" customHeight="1" x14ac:dyDescent="0.15"/>
    <row r="625" ht="18.75" customHeight="1" x14ac:dyDescent="0.15"/>
    <row r="626" ht="18.75" customHeight="1" x14ac:dyDescent="0.15"/>
    <row r="627" ht="18.75" customHeight="1" x14ac:dyDescent="0.15"/>
    <row r="628" ht="18.75" customHeight="1" x14ac:dyDescent="0.15"/>
    <row r="629" ht="18.75" customHeight="1" x14ac:dyDescent="0.15"/>
    <row r="630" ht="18.75" customHeight="1" x14ac:dyDescent="0.15"/>
    <row r="631" ht="18.75" customHeight="1" x14ac:dyDescent="0.15"/>
    <row r="632" ht="18.75" customHeight="1" x14ac:dyDescent="0.15"/>
    <row r="633" ht="18.75" customHeight="1" x14ac:dyDescent="0.15"/>
    <row r="634" ht="18.75" customHeight="1" x14ac:dyDescent="0.15"/>
    <row r="635" ht="18.75" customHeight="1" x14ac:dyDescent="0.15"/>
    <row r="636" ht="18.75" customHeight="1" x14ac:dyDescent="0.15"/>
    <row r="637" ht="18.75" customHeight="1" x14ac:dyDescent="0.15"/>
    <row r="638" ht="18.75" customHeight="1" x14ac:dyDescent="0.15"/>
    <row r="639" ht="18.75" customHeight="1" x14ac:dyDescent="0.15"/>
    <row r="640" ht="18.75" customHeight="1" x14ac:dyDescent="0.15"/>
    <row r="641" ht="18.75" customHeight="1" x14ac:dyDescent="0.15"/>
    <row r="642" ht="18.75" customHeight="1" x14ac:dyDescent="0.15"/>
    <row r="643" ht="18.75" customHeight="1" x14ac:dyDescent="0.15"/>
    <row r="644" ht="18.75" customHeight="1" x14ac:dyDescent="0.15"/>
    <row r="645" ht="18.75" customHeight="1" x14ac:dyDescent="0.15"/>
    <row r="646" ht="18.75" customHeight="1" x14ac:dyDescent="0.15"/>
    <row r="647" ht="18.75" customHeight="1" x14ac:dyDescent="0.15"/>
    <row r="648" ht="18.75" customHeight="1" x14ac:dyDescent="0.15"/>
    <row r="649" ht="18.75" customHeight="1" x14ac:dyDescent="0.15"/>
    <row r="650" ht="18.75" customHeight="1" x14ac:dyDescent="0.15"/>
    <row r="651" ht="18.75" customHeight="1" x14ac:dyDescent="0.15"/>
    <row r="652" ht="18.75" customHeight="1" x14ac:dyDescent="0.15"/>
    <row r="653" ht="18.75" customHeight="1" x14ac:dyDescent="0.15"/>
    <row r="654" ht="18.75" customHeight="1" x14ac:dyDescent="0.15"/>
    <row r="655" ht="18.75" customHeight="1" x14ac:dyDescent="0.15"/>
    <row r="656" ht="18.75" customHeight="1" x14ac:dyDescent="0.15"/>
    <row r="657" ht="18.75" customHeight="1" x14ac:dyDescent="0.15"/>
    <row r="658" ht="18.75" customHeight="1" x14ac:dyDescent="0.15"/>
    <row r="659" ht="18.75" customHeight="1" x14ac:dyDescent="0.15"/>
    <row r="660" ht="18.75" customHeight="1" x14ac:dyDescent="0.15"/>
    <row r="661" ht="18.75" customHeight="1" x14ac:dyDescent="0.15"/>
    <row r="662" ht="18.75" customHeight="1" x14ac:dyDescent="0.15"/>
    <row r="663" ht="18.75" customHeight="1" x14ac:dyDescent="0.15"/>
    <row r="664" ht="18.75" customHeight="1" x14ac:dyDescent="0.15"/>
    <row r="665" ht="18.75" customHeight="1" x14ac:dyDescent="0.15"/>
    <row r="666" ht="18.75" customHeight="1" x14ac:dyDescent="0.15"/>
    <row r="667" ht="18.75" customHeight="1" x14ac:dyDescent="0.15"/>
    <row r="668" ht="18.75" customHeight="1" x14ac:dyDescent="0.15"/>
    <row r="669" ht="18.75" customHeight="1" x14ac:dyDescent="0.15"/>
    <row r="670" ht="18.75" customHeight="1" x14ac:dyDescent="0.15"/>
    <row r="671" ht="18.75" customHeight="1" x14ac:dyDescent="0.15"/>
    <row r="672" ht="18.75" customHeight="1" x14ac:dyDescent="0.15"/>
    <row r="673" ht="18.75" customHeight="1" x14ac:dyDescent="0.15"/>
    <row r="674" ht="18.75" customHeight="1" x14ac:dyDescent="0.15"/>
    <row r="675" ht="18.75" customHeight="1" x14ac:dyDescent="0.15"/>
    <row r="676" ht="18.75" customHeight="1" x14ac:dyDescent="0.15"/>
    <row r="677" ht="18.75" customHeight="1" x14ac:dyDescent="0.15"/>
    <row r="678" ht="18.75" customHeight="1" x14ac:dyDescent="0.15"/>
    <row r="679" ht="18.75" customHeight="1" x14ac:dyDescent="0.15"/>
    <row r="680" ht="18.75" customHeight="1" x14ac:dyDescent="0.15"/>
    <row r="681" ht="18.75" customHeight="1" x14ac:dyDescent="0.15"/>
    <row r="682" ht="18.75" customHeight="1" x14ac:dyDescent="0.15"/>
    <row r="683" ht="18.75" customHeight="1" x14ac:dyDescent="0.15"/>
    <row r="684" ht="18.75" customHeight="1" x14ac:dyDescent="0.15"/>
    <row r="685" ht="18.75" customHeight="1" x14ac:dyDescent="0.15"/>
    <row r="686" ht="18.75" customHeight="1" x14ac:dyDescent="0.15"/>
    <row r="687" ht="18.75" customHeight="1" x14ac:dyDescent="0.15"/>
    <row r="688" ht="18.75" customHeight="1" x14ac:dyDescent="0.15"/>
    <row r="689" ht="18.75" customHeight="1" x14ac:dyDescent="0.15"/>
    <row r="690" ht="18.75" customHeight="1" x14ac:dyDescent="0.15"/>
    <row r="691" ht="18.75" customHeight="1" x14ac:dyDescent="0.15"/>
    <row r="692" ht="18.75" customHeight="1" x14ac:dyDescent="0.15"/>
    <row r="693" ht="18.75" customHeight="1" x14ac:dyDescent="0.15"/>
    <row r="694" ht="18.75" customHeight="1" x14ac:dyDescent="0.15"/>
    <row r="695" ht="18.75" customHeight="1" x14ac:dyDescent="0.15"/>
    <row r="696" ht="18.75" customHeight="1" x14ac:dyDescent="0.15"/>
    <row r="697" ht="18.75" customHeight="1" x14ac:dyDescent="0.15"/>
    <row r="698" ht="18.75" customHeight="1" x14ac:dyDescent="0.15"/>
    <row r="699" ht="18.75" customHeight="1" x14ac:dyDescent="0.15"/>
    <row r="700" ht="18.75" customHeight="1" x14ac:dyDescent="0.15"/>
    <row r="701" ht="18.75" customHeight="1" x14ac:dyDescent="0.15"/>
    <row r="702" ht="18.75" customHeight="1" x14ac:dyDescent="0.15"/>
    <row r="703" ht="18.75" customHeight="1" x14ac:dyDescent="0.15"/>
    <row r="704" ht="18.75" customHeight="1" x14ac:dyDescent="0.15"/>
    <row r="705" ht="18.75" customHeight="1" x14ac:dyDescent="0.15"/>
    <row r="706" ht="18.75" customHeight="1" x14ac:dyDescent="0.15"/>
    <row r="707" ht="18.75" customHeight="1" x14ac:dyDescent="0.15"/>
    <row r="708" ht="18.75" customHeight="1" x14ac:dyDescent="0.15"/>
    <row r="709" ht="18.75" customHeight="1" x14ac:dyDescent="0.15"/>
    <row r="710" ht="18.75" customHeight="1" x14ac:dyDescent="0.15"/>
    <row r="711" ht="18.75" customHeight="1" x14ac:dyDescent="0.15"/>
    <row r="712" ht="18.75" customHeight="1" x14ac:dyDescent="0.15"/>
    <row r="713" ht="18.75" customHeight="1" x14ac:dyDescent="0.15"/>
    <row r="714" ht="18.75" customHeight="1" x14ac:dyDescent="0.15"/>
    <row r="715" ht="18.75" customHeight="1" x14ac:dyDescent="0.15"/>
    <row r="716" ht="18.75" customHeight="1" x14ac:dyDescent="0.15"/>
    <row r="717" ht="18.75" customHeight="1" x14ac:dyDescent="0.15"/>
    <row r="718" ht="18.75" customHeight="1" x14ac:dyDescent="0.15"/>
    <row r="719" ht="18.75" customHeight="1" x14ac:dyDescent="0.15"/>
    <row r="720" ht="18.75" customHeight="1" x14ac:dyDescent="0.15"/>
    <row r="721" ht="18.75" customHeight="1" x14ac:dyDescent="0.15"/>
    <row r="722" ht="18.75" customHeight="1" x14ac:dyDescent="0.15"/>
    <row r="723" ht="18.75" customHeight="1" x14ac:dyDescent="0.15"/>
    <row r="724" ht="18.75" customHeight="1" x14ac:dyDescent="0.15"/>
    <row r="725" ht="18.75" customHeight="1" x14ac:dyDescent="0.15"/>
    <row r="726" ht="18.75" customHeight="1" x14ac:dyDescent="0.15"/>
    <row r="727" ht="18.75" customHeight="1" x14ac:dyDescent="0.15"/>
    <row r="728" ht="18.75" customHeight="1" x14ac:dyDescent="0.15"/>
    <row r="729" ht="18.75" customHeight="1" x14ac:dyDescent="0.15"/>
    <row r="730" ht="18.75" customHeight="1" x14ac:dyDescent="0.15"/>
    <row r="731" ht="18.75" customHeight="1" x14ac:dyDescent="0.15"/>
    <row r="732" ht="18.75" customHeight="1" x14ac:dyDescent="0.15"/>
    <row r="733" ht="18.75" customHeight="1" x14ac:dyDescent="0.15"/>
    <row r="734" ht="18.75" customHeight="1" x14ac:dyDescent="0.15"/>
    <row r="735" ht="18.75" customHeight="1" x14ac:dyDescent="0.15"/>
    <row r="736" ht="18.75" customHeight="1" x14ac:dyDescent="0.15"/>
    <row r="737" ht="18.75" customHeight="1" x14ac:dyDescent="0.15"/>
    <row r="738" ht="18.75" customHeight="1" x14ac:dyDescent="0.15"/>
    <row r="739" ht="18.75" customHeight="1" x14ac:dyDescent="0.15"/>
    <row r="740" ht="18.75" customHeight="1" x14ac:dyDescent="0.15"/>
    <row r="741" ht="18.75" customHeight="1" x14ac:dyDescent="0.15"/>
    <row r="742" ht="18.75" customHeight="1" x14ac:dyDescent="0.15"/>
    <row r="743" ht="18.75" customHeight="1" x14ac:dyDescent="0.15"/>
    <row r="744" ht="18.75" customHeight="1" x14ac:dyDescent="0.15"/>
    <row r="745" ht="18.75" customHeight="1" x14ac:dyDescent="0.15"/>
    <row r="746" ht="18.75" customHeight="1" x14ac:dyDescent="0.15"/>
    <row r="747" ht="18.75" customHeight="1" x14ac:dyDescent="0.15"/>
    <row r="748" ht="18.75" customHeight="1" x14ac:dyDescent="0.15"/>
    <row r="749" ht="18.75" customHeight="1" x14ac:dyDescent="0.15"/>
    <row r="750" ht="18.75" customHeight="1" x14ac:dyDescent="0.15"/>
    <row r="751" ht="18.75" customHeight="1" x14ac:dyDescent="0.15"/>
    <row r="752" ht="18.75" customHeight="1" x14ac:dyDescent="0.15"/>
    <row r="753" ht="18.75" customHeight="1" x14ac:dyDescent="0.15"/>
    <row r="754" ht="18.75" customHeight="1" x14ac:dyDescent="0.15"/>
    <row r="755" ht="18.75" customHeight="1" x14ac:dyDescent="0.15"/>
    <row r="756" ht="18.75" customHeight="1" x14ac:dyDescent="0.15"/>
    <row r="757" ht="18.75" customHeight="1" x14ac:dyDescent="0.15"/>
    <row r="758" ht="18.75" customHeight="1" x14ac:dyDescent="0.15"/>
    <row r="759" ht="18.75" customHeight="1" x14ac:dyDescent="0.15"/>
    <row r="760" ht="18.75" customHeight="1" x14ac:dyDescent="0.15"/>
    <row r="761" ht="18.75" customHeight="1" x14ac:dyDescent="0.15"/>
    <row r="762" ht="18.75" customHeight="1" x14ac:dyDescent="0.15"/>
    <row r="763" ht="18.75" customHeight="1" x14ac:dyDescent="0.15"/>
    <row r="764" ht="18.75" customHeight="1" x14ac:dyDescent="0.15"/>
    <row r="765" ht="18.75" customHeight="1" x14ac:dyDescent="0.15"/>
    <row r="766" ht="18.75" customHeight="1" x14ac:dyDescent="0.15"/>
    <row r="767" ht="18.75" customHeight="1" x14ac:dyDescent="0.15"/>
    <row r="768" ht="18.75" customHeight="1" x14ac:dyDescent="0.15"/>
    <row r="769" ht="18.75" customHeight="1" x14ac:dyDescent="0.15"/>
    <row r="770" ht="18.75" customHeight="1" x14ac:dyDescent="0.15"/>
    <row r="771" ht="18.75" customHeight="1" x14ac:dyDescent="0.15"/>
    <row r="772" ht="18.75" customHeight="1" x14ac:dyDescent="0.15"/>
    <row r="773" ht="18.75" customHeight="1" x14ac:dyDescent="0.15"/>
    <row r="774" ht="18.75" customHeight="1" x14ac:dyDescent="0.15"/>
    <row r="775" ht="18.75" customHeight="1" x14ac:dyDescent="0.15"/>
    <row r="776" ht="18.75" customHeight="1" x14ac:dyDescent="0.15"/>
    <row r="777" ht="18.75" customHeight="1" x14ac:dyDescent="0.15"/>
    <row r="778" ht="18.75" customHeight="1" x14ac:dyDescent="0.15"/>
    <row r="779" ht="18.75" customHeight="1" x14ac:dyDescent="0.15"/>
    <row r="780" ht="18.75" customHeight="1" x14ac:dyDescent="0.15"/>
    <row r="781" ht="18.75" customHeight="1" x14ac:dyDescent="0.15"/>
    <row r="782" ht="18.75" customHeight="1" x14ac:dyDescent="0.15"/>
    <row r="783" ht="18.75" customHeight="1" x14ac:dyDescent="0.15"/>
    <row r="784" ht="18.75" customHeight="1" x14ac:dyDescent="0.15"/>
    <row r="785" ht="18.75" customHeight="1" x14ac:dyDescent="0.15"/>
    <row r="786" ht="18.75" customHeight="1" x14ac:dyDescent="0.15"/>
    <row r="787" ht="18.75" customHeight="1" x14ac:dyDescent="0.15"/>
    <row r="788" ht="18.75" customHeight="1" x14ac:dyDescent="0.15"/>
    <row r="789" ht="18.75" customHeight="1" x14ac:dyDescent="0.15"/>
    <row r="790" ht="18.75" customHeight="1" x14ac:dyDescent="0.15"/>
    <row r="791" ht="18.75" customHeight="1" x14ac:dyDescent="0.15"/>
    <row r="792" ht="18.75" customHeight="1" x14ac:dyDescent="0.15"/>
    <row r="793" ht="18.75" customHeight="1" x14ac:dyDescent="0.15"/>
    <row r="794" ht="18.75" customHeight="1" x14ac:dyDescent="0.15"/>
    <row r="795" ht="18.75" customHeight="1" x14ac:dyDescent="0.15"/>
    <row r="796" ht="18.75" customHeight="1" x14ac:dyDescent="0.15"/>
    <row r="797" ht="18.75" customHeight="1" x14ac:dyDescent="0.15"/>
    <row r="798" ht="18.75" customHeight="1" x14ac:dyDescent="0.15"/>
    <row r="799" ht="18.75" customHeight="1" x14ac:dyDescent="0.15"/>
    <row r="800" ht="18.75" customHeight="1" x14ac:dyDescent="0.15"/>
    <row r="801" ht="18.75" customHeight="1" x14ac:dyDescent="0.15"/>
    <row r="802" ht="18.75" customHeight="1" x14ac:dyDescent="0.15"/>
    <row r="803" ht="18.75" customHeight="1" x14ac:dyDescent="0.15"/>
    <row r="804" ht="18.75" customHeight="1" x14ac:dyDescent="0.15"/>
    <row r="805" ht="18.75" customHeight="1" x14ac:dyDescent="0.15"/>
    <row r="806" ht="18.75" customHeight="1" x14ac:dyDescent="0.15"/>
    <row r="807" ht="18.75" customHeight="1" x14ac:dyDescent="0.15"/>
    <row r="808" ht="18.75" customHeight="1" x14ac:dyDescent="0.15"/>
    <row r="809" ht="18.75" customHeight="1" x14ac:dyDescent="0.15"/>
    <row r="810" ht="18.75" customHeight="1" x14ac:dyDescent="0.15"/>
    <row r="811" ht="18.75" customHeight="1" x14ac:dyDescent="0.15"/>
    <row r="812" ht="18.75" customHeight="1" x14ac:dyDescent="0.15"/>
    <row r="813" ht="18.75" customHeight="1" x14ac:dyDescent="0.15"/>
    <row r="814" ht="18.75" customHeight="1" x14ac:dyDescent="0.15"/>
    <row r="815" ht="18.75" customHeight="1" x14ac:dyDescent="0.15"/>
    <row r="816" ht="18.75" customHeight="1" x14ac:dyDescent="0.15"/>
    <row r="817" ht="18.75" customHeight="1" x14ac:dyDescent="0.15"/>
    <row r="818" ht="18.75" customHeight="1" x14ac:dyDescent="0.15"/>
    <row r="819" ht="18.75" customHeight="1" x14ac:dyDescent="0.15"/>
    <row r="820" ht="18.75" customHeight="1" x14ac:dyDescent="0.15"/>
    <row r="821" ht="18.75" customHeight="1" x14ac:dyDescent="0.15"/>
    <row r="822" ht="18.75" customHeight="1" x14ac:dyDescent="0.15"/>
    <row r="823" ht="18.75" customHeight="1" x14ac:dyDescent="0.15"/>
    <row r="824" ht="18.75" customHeight="1" x14ac:dyDescent="0.15"/>
    <row r="825" ht="18.75" customHeight="1" x14ac:dyDescent="0.15"/>
    <row r="826" ht="18.75" customHeight="1" x14ac:dyDescent="0.15"/>
    <row r="827" ht="18.75" customHeight="1" x14ac:dyDescent="0.15"/>
    <row r="828" ht="18.75" customHeight="1" x14ac:dyDescent="0.15"/>
    <row r="829" ht="18.75" customHeight="1" x14ac:dyDescent="0.15"/>
    <row r="830" ht="18.75" customHeight="1" x14ac:dyDescent="0.15"/>
    <row r="831" ht="18.75" customHeight="1" x14ac:dyDescent="0.15"/>
    <row r="832" ht="18.75" customHeight="1" x14ac:dyDescent="0.15"/>
    <row r="833" ht="18.75" customHeight="1" x14ac:dyDescent="0.15"/>
    <row r="834" ht="18.75" customHeight="1" x14ac:dyDescent="0.15"/>
    <row r="835" ht="18.75" customHeight="1" x14ac:dyDescent="0.15"/>
    <row r="836" ht="18.75" customHeight="1" x14ac:dyDescent="0.15"/>
    <row r="837" ht="18.75" customHeight="1" x14ac:dyDescent="0.15"/>
    <row r="838" ht="18.75" customHeight="1" x14ac:dyDescent="0.15"/>
    <row r="839" ht="18.75" customHeight="1" x14ac:dyDescent="0.15"/>
    <row r="840" ht="18.75" customHeight="1" x14ac:dyDescent="0.15"/>
    <row r="841" ht="18.75" customHeight="1" x14ac:dyDescent="0.15"/>
    <row r="842" ht="18.75" customHeight="1" x14ac:dyDescent="0.15"/>
    <row r="843" ht="18.75" customHeight="1" x14ac:dyDescent="0.15"/>
    <row r="844" ht="18.75" customHeight="1" x14ac:dyDescent="0.15"/>
    <row r="845" ht="18.75" customHeight="1" x14ac:dyDescent="0.15"/>
    <row r="846" ht="18.75" customHeight="1" x14ac:dyDescent="0.15"/>
    <row r="847" ht="18.75" customHeight="1" x14ac:dyDescent="0.15"/>
    <row r="848" ht="18.75" customHeight="1" x14ac:dyDescent="0.15"/>
    <row r="849" ht="18.75" customHeight="1" x14ac:dyDescent="0.15"/>
    <row r="850" ht="18.75" customHeight="1" x14ac:dyDescent="0.15"/>
    <row r="851" ht="18.75" customHeight="1" x14ac:dyDescent="0.15"/>
    <row r="852" ht="18.75" customHeight="1" x14ac:dyDescent="0.15"/>
    <row r="853" ht="18.75" customHeight="1" x14ac:dyDescent="0.15"/>
    <row r="854" ht="18.75" customHeight="1" x14ac:dyDescent="0.15"/>
    <row r="855" ht="18.75" customHeight="1" x14ac:dyDescent="0.15"/>
    <row r="856" ht="18.75" customHeight="1" x14ac:dyDescent="0.15"/>
    <row r="857" ht="18.75" customHeight="1" x14ac:dyDescent="0.15"/>
    <row r="858" ht="18.75" customHeight="1" x14ac:dyDescent="0.15"/>
    <row r="859" ht="18.75" customHeight="1" x14ac:dyDescent="0.15"/>
    <row r="860" ht="18.75" customHeight="1" x14ac:dyDescent="0.15"/>
    <row r="861" ht="18.75" customHeight="1" x14ac:dyDescent="0.15"/>
    <row r="862" ht="18.75" customHeight="1" x14ac:dyDescent="0.15"/>
    <row r="863" ht="18.75" customHeight="1" x14ac:dyDescent="0.15"/>
    <row r="864" ht="18.75" customHeight="1" x14ac:dyDescent="0.15"/>
    <row r="865" ht="18.75" customHeight="1" x14ac:dyDescent="0.15"/>
    <row r="866" ht="18.75" customHeight="1" x14ac:dyDescent="0.15"/>
    <row r="867" ht="18.75" customHeight="1" x14ac:dyDescent="0.15"/>
    <row r="868" ht="18.75" customHeight="1" x14ac:dyDescent="0.15"/>
    <row r="869" ht="18.75" customHeight="1" x14ac:dyDescent="0.15"/>
    <row r="870" ht="18.75" customHeight="1" x14ac:dyDescent="0.15"/>
    <row r="871" ht="18.75" customHeight="1" x14ac:dyDescent="0.15"/>
    <row r="872" ht="18.75" customHeight="1" x14ac:dyDescent="0.15"/>
    <row r="873" ht="18.75" customHeight="1" x14ac:dyDescent="0.15"/>
    <row r="874" ht="18.75" customHeight="1" x14ac:dyDescent="0.15"/>
    <row r="875" ht="18.75" customHeight="1" x14ac:dyDescent="0.15"/>
    <row r="876" ht="18.75" customHeight="1" x14ac:dyDescent="0.15"/>
    <row r="877" ht="18.75" customHeight="1" x14ac:dyDescent="0.15"/>
    <row r="878" ht="18.75" customHeight="1" x14ac:dyDescent="0.15"/>
    <row r="879" ht="18.75" customHeight="1" x14ac:dyDescent="0.15"/>
    <row r="880" ht="18.75" customHeight="1" x14ac:dyDescent="0.15"/>
    <row r="881" ht="18.75" customHeight="1" x14ac:dyDescent="0.15"/>
    <row r="882" ht="18.75" customHeight="1" x14ac:dyDescent="0.15"/>
    <row r="883" ht="18.75" customHeight="1" x14ac:dyDescent="0.15"/>
    <row r="884" ht="18.75" customHeight="1" x14ac:dyDescent="0.15"/>
    <row r="885" ht="18.75" customHeight="1" x14ac:dyDescent="0.15"/>
    <row r="886" ht="18.75" customHeight="1" x14ac:dyDescent="0.15"/>
    <row r="887" ht="18.75" customHeight="1" x14ac:dyDescent="0.15"/>
    <row r="888" ht="18.75" customHeight="1" x14ac:dyDescent="0.15"/>
    <row r="889" ht="18.75" customHeight="1" x14ac:dyDescent="0.15"/>
    <row r="890" ht="18.75" customHeight="1" x14ac:dyDescent="0.15"/>
    <row r="891" ht="18.75" customHeight="1" x14ac:dyDescent="0.15"/>
    <row r="892" ht="18.75" customHeight="1" x14ac:dyDescent="0.15"/>
    <row r="893" ht="18.75" customHeight="1" x14ac:dyDescent="0.15"/>
    <row r="894" ht="18.75" customHeight="1" x14ac:dyDescent="0.15"/>
    <row r="895" ht="18.75" customHeight="1" x14ac:dyDescent="0.15"/>
    <row r="896" ht="18.75" customHeight="1" x14ac:dyDescent="0.15"/>
    <row r="897" ht="18.75" customHeight="1" x14ac:dyDescent="0.15"/>
    <row r="898" ht="18.75" customHeight="1" x14ac:dyDescent="0.15"/>
    <row r="899" ht="18.75" customHeight="1" x14ac:dyDescent="0.15"/>
    <row r="900" ht="18.75" customHeight="1" x14ac:dyDescent="0.15"/>
    <row r="901" ht="18.75" customHeight="1" x14ac:dyDescent="0.15"/>
    <row r="902" ht="18.75" customHeight="1" x14ac:dyDescent="0.15"/>
    <row r="903" ht="18.75" customHeight="1" x14ac:dyDescent="0.15"/>
    <row r="904" ht="18.75" customHeight="1" x14ac:dyDescent="0.15"/>
    <row r="905" ht="18.75" customHeight="1" x14ac:dyDescent="0.15"/>
    <row r="906" ht="18.75" customHeight="1" x14ac:dyDescent="0.15"/>
    <row r="907" ht="18.75" customHeight="1" x14ac:dyDescent="0.15"/>
    <row r="908" ht="18.75" customHeight="1" x14ac:dyDescent="0.15"/>
    <row r="909" ht="18.75" customHeight="1" x14ac:dyDescent="0.15"/>
    <row r="910" ht="18.75" customHeight="1" x14ac:dyDescent="0.15"/>
    <row r="911" ht="18.75" customHeight="1" x14ac:dyDescent="0.15"/>
    <row r="912" ht="18.75" customHeight="1" x14ac:dyDescent="0.15"/>
    <row r="913" ht="18.75" customHeight="1" x14ac:dyDescent="0.15"/>
    <row r="914" ht="18.75" customHeight="1" x14ac:dyDescent="0.15"/>
    <row r="915" ht="18.75" customHeight="1" x14ac:dyDescent="0.15"/>
    <row r="916" ht="18.75" customHeight="1" x14ac:dyDescent="0.15"/>
    <row r="917" ht="18.75" customHeight="1" x14ac:dyDescent="0.15"/>
    <row r="918" ht="18.75" customHeight="1" x14ac:dyDescent="0.15"/>
    <row r="919" ht="18.75" customHeight="1" x14ac:dyDescent="0.15"/>
    <row r="920" ht="18.75" customHeight="1" x14ac:dyDescent="0.15"/>
    <row r="921" ht="18.75" customHeight="1" x14ac:dyDescent="0.15"/>
    <row r="922" ht="18.75" customHeight="1" x14ac:dyDescent="0.15"/>
    <row r="923" ht="18.75" customHeight="1" x14ac:dyDescent="0.15"/>
    <row r="924" ht="18.75" customHeight="1" x14ac:dyDescent="0.15"/>
    <row r="925" ht="18.75" customHeight="1" x14ac:dyDescent="0.15"/>
    <row r="926" ht="18.75" customHeight="1" x14ac:dyDescent="0.15"/>
    <row r="927" ht="18.75" customHeight="1" x14ac:dyDescent="0.15"/>
    <row r="928" ht="18.75" customHeight="1" x14ac:dyDescent="0.15"/>
    <row r="929" ht="18.75" customHeight="1" x14ac:dyDescent="0.15"/>
    <row r="930" ht="18.75" customHeight="1" x14ac:dyDescent="0.15"/>
    <row r="931" ht="18.75" customHeight="1" x14ac:dyDescent="0.15"/>
    <row r="932" ht="18.75" customHeight="1" x14ac:dyDescent="0.15"/>
    <row r="933" ht="18.75" customHeight="1" x14ac:dyDescent="0.15"/>
    <row r="934" ht="18.75" customHeight="1" x14ac:dyDescent="0.15"/>
    <row r="935" ht="18.75" customHeight="1" x14ac:dyDescent="0.15"/>
    <row r="936" ht="18.75" customHeight="1" x14ac:dyDescent="0.15"/>
    <row r="937" ht="18.75" customHeight="1" x14ac:dyDescent="0.15"/>
    <row r="938" ht="18.75" customHeight="1" x14ac:dyDescent="0.15"/>
    <row r="939" ht="18.75" customHeight="1" x14ac:dyDescent="0.15"/>
    <row r="940" ht="18.75" customHeight="1" x14ac:dyDescent="0.15"/>
    <row r="941" ht="18.75" customHeight="1" x14ac:dyDescent="0.15"/>
    <row r="942" ht="18.75" customHeight="1" x14ac:dyDescent="0.15"/>
    <row r="943" ht="18.75" customHeight="1" x14ac:dyDescent="0.15"/>
    <row r="944" ht="18.75" customHeight="1" x14ac:dyDescent="0.15"/>
    <row r="945" ht="18.75" customHeight="1" x14ac:dyDescent="0.15"/>
    <row r="946" ht="18.75" customHeight="1" x14ac:dyDescent="0.15"/>
    <row r="947" ht="18.75" customHeight="1" x14ac:dyDescent="0.15"/>
    <row r="948" ht="18.75" customHeight="1" x14ac:dyDescent="0.15"/>
    <row r="949" ht="18.75" customHeight="1" x14ac:dyDescent="0.15"/>
    <row r="950" ht="18.75" customHeight="1" x14ac:dyDescent="0.15"/>
    <row r="951" ht="18.75" customHeight="1" x14ac:dyDescent="0.15"/>
    <row r="952" ht="18.75" customHeight="1" x14ac:dyDescent="0.15"/>
    <row r="953" ht="18.75" customHeight="1" x14ac:dyDescent="0.15"/>
    <row r="954" ht="18.75" customHeight="1" x14ac:dyDescent="0.15"/>
    <row r="955" ht="18.75" customHeight="1" x14ac:dyDescent="0.15"/>
    <row r="956" ht="18.75" customHeight="1" x14ac:dyDescent="0.15"/>
    <row r="957" ht="18.75" customHeight="1" x14ac:dyDescent="0.15"/>
    <row r="958" ht="18.75" customHeight="1" x14ac:dyDescent="0.15"/>
    <row r="959" ht="18.75" customHeight="1" x14ac:dyDescent="0.15"/>
    <row r="960" ht="18.75" customHeight="1" x14ac:dyDescent="0.15"/>
    <row r="961" ht="18.75" customHeight="1" x14ac:dyDescent="0.15"/>
    <row r="962" ht="18.75" customHeight="1" x14ac:dyDescent="0.15"/>
    <row r="963" ht="18.75" customHeight="1" x14ac:dyDescent="0.15"/>
    <row r="964" ht="18.75" customHeight="1" x14ac:dyDescent="0.15"/>
    <row r="965" ht="18.75" customHeight="1" x14ac:dyDescent="0.15"/>
    <row r="966" ht="18.75" customHeight="1" x14ac:dyDescent="0.15"/>
    <row r="967" ht="18.75" customHeight="1" x14ac:dyDescent="0.15"/>
    <row r="968" ht="18.75" customHeight="1" x14ac:dyDescent="0.15"/>
    <row r="969" ht="18.75" customHeight="1" x14ac:dyDescent="0.15"/>
    <row r="970" ht="18.75" customHeight="1" x14ac:dyDescent="0.15"/>
    <row r="971" ht="18.75" customHeight="1" x14ac:dyDescent="0.15"/>
    <row r="972" ht="18.75" customHeight="1" x14ac:dyDescent="0.15"/>
    <row r="973" ht="18.75" customHeight="1" x14ac:dyDescent="0.15"/>
    <row r="974" ht="18.75" customHeight="1" x14ac:dyDescent="0.15"/>
    <row r="975" ht="18.75" customHeight="1" x14ac:dyDescent="0.15"/>
    <row r="976" ht="18.75" customHeight="1" x14ac:dyDescent="0.15"/>
    <row r="977" ht="18.75" customHeight="1" x14ac:dyDescent="0.15"/>
    <row r="978" ht="18.75" customHeight="1" x14ac:dyDescent="0.15"/>
    <row r="979" ht="18.75" customHeight="1" x14ac:dyDescent="0.15"/>
    <row r="980" ht="18.75" customHeight="1" x14ac:dyDescent="0.15"/>
    <row r="981" ht="18.75" customHeight="1" x14ac:dyDescent="0.15"/>
    <row r="982" ht="18.75" customHeight="1" x14ac:dyDescent="0.15"/>
    <row r="983" ht="18.75" customHeight="1" x14ac:dyDescent="0.15"/>
    <row r="984" ht="18.75" customHeight="1" x14ac:dyDescent="0.15"/>
    <row r="985" ht="18.75" customHeight="1" x14ac:dyDescent="0.15"/>
    <row r="986" ht="18.75" customHeight="1" x14ac:dyDescent="0.15"/>
    <row r="987" ht="18.75" customHeight="1" x14ac:dyDescent="0.15"/>
    <row r="988" ht="18.75" customHeight="1" x14ac:dyDescent="0.15"/>
    <row r="989" ht="18.75" customHeight="1" x14ac:dyDescent="0.15"/>
    <row r="990" ht="18.75" customHeight="1" x14ac:dyDescent="0.15"/>
    <row r="991" ht="18.75" customHeight="1" x14ac:dyDescent="0.15"/>
    <row r="992" ht="18.75" customHeight="1" x14ac:dyDescent="0.15"/>
    <row r="993" ht="18.75" customHeight="1" x14ac:dyDescent="0.15"/>
    <row r="994" ht="18.75" customHeight="1" x14ac:dyDescent="0.15"/>
    <row r="995" ht="18.75" customHeight="1" x14ac:dyDescent="0.15"/>
    <row r="996" ht="18.75" customHeight="1" x14ac:dyDescent="0.15"/>
    <row r="997" ht="18.75" customHeight="1" x14ac:dyDescent="0.15"/>
    <row r="998" ht="18.75" customHeight="1" x14ac:dyDescent="0.15"/>
    <row r="999" ht="18.75" customHeight="1" x14ac:dyDescent="0.15"/>
    <row r="1000" ht="18.75" customHeight="1" x14ac:dyDescent="0.15"/>
    <row r="1001" ht="18.75" customHeight="1" x14ac:dyDescent="0.15"/>
    <row r="1002" ht="18.75" customHeight="1" x14ac:dyDescent="0.15"/>
    <row r="1003" ht="18.75" customHeight="1" x14ac:dyDescent="0.15"/>
    <row r="1004" ht="18.75" customHeight="1" x14ac:dyDescent="0.15"/>
    <row r="1005" ht="18.75" customHeight="1" x14ac:dyDescent="0.15"/>
    <row r="1006" ht="18.75" customHeight="1" x14ac:dyDescent="0.15"/>
    <row r="1007" ht="18.75" customHeight="1" x14ac:dyDescent="0.15"/>
    <row r="1008" ht="18.75" customHeight="1" x14ac:dyDescent="0.15"/>
    <row r="1009" ht="18.75" customHeight="1" x14ac:dyDescent="0.15"/>
    <row r="1010" ht="18.75" customHeight="1" x14ac:dyDescent="0.15"/>
    <row r="1011" ht="18.75" customHeight="1" x14ac:dyDescent="0.15"/>
    <row r="1012" ht="18.75" customHeight="1" x14ac:dyDescent="0.15"/>
    <row r="1013" ht="18.75" customHeight="1" x14ac:dyDescent="0.15"/>
    <row r="1014" ht="18.75" customHeight="1" x14ac:dyDescent="0.15"/>
    <row r="1015" ht="18.75" customHeight="1" x14ac:dyDescent="0.15"/>
    <row r="1016" ht="18.75" customHeight="1" x14ac:dyDescent="0.15"/>
    <row r="1017" ht="18.75" customHeight="1" x14ac:dyDescent="0.15"/>
    <row r="1018" ht="18.75" customHeight="1" x14ac:dyDescent="0.15"/>
    <row r="1019" ht="18.75" customHeight="1" x14ac:dyDescent="0.15"/>
    <row r="1020" ht="18.75" customHeight="1" x14ac:dyDescent="0.15"/>
    <row r="1021" ht="18.75" customHeight="1" x14ac:dyDescent="0.15"/>
    <row r="1022" ht="18.75" customHeight="1" x14ac:dyDescent="0.15"/>
    <row r="1023" ht="18.75" customHeight="1" x14ac:dyDescent="0.15"/>
    <row r="1024" ht="18.75" customHeight="1" x14ac:dyDescent="0.15"/>
    <row r="1025" ht="18.75" customHeight="1" x14ac:dyDescent="0.15"/>
    <row r="1026" ht="18.75" customHeight="1" x14ac:dyDescent="0.15"/>
    <row r="1027" ht="18.75" customHeight="1" x14ac:dyDescent="0.15"/>
    <row r="1028" ht="18.75" customHeight="1" x14ac:dyDescent="0.15"/>
    <row r="1029" ht="18.75" customHeight="1" x14ac:dyDescent="0.15"/>
    <row r="1030" ht="18.75" customHeight="1" x14ac:dyDescent="0.15"/>
    <row r="1031" ht="18.75" customHeight="1" x14ac:dyDescent="0.15"/>
  </sheetData>
  <mergeCells count="24">
    <mergeCell ref="E88:G88"/>
    <mergeCell ref="E89:G89"/>
    <mergeCell ref="C23:C24"/>
    <mergeCell ref="D23:E24"/>
    <mergeCell ref="D25:E25"/>
    <mergeCell ref="D26:E26"/>
    <mergeCell ref="D27:E27"/>
    <mergeCell ref="D28:E28"/>
    <mergeCell ref="E96:G96"/>
    <mergeCell ref="E97:G97"/>
    <mergeCell ref="C100:G100"/>
    <mergeCell ref="E49:H49"/>
    <mergeCell ref="B23:B24"/>
    <mergeCell ref="E98:G98"/>
    <mergeCell ref="E90:G90"/>
    <mergeCell ref="E91:G91"/>
    <mergeCell ref="E92:G92"/>
    <mergeCell ref="E93:G93"/>
    <mergeCell ref="E94:G94"/>
    <mergeCell ref="E95:G95"/>
    <mergeCell ref="D29:E29"/>
    <mergeCell ref="D30:E30"/>
    <mergeCell ref="D31:E31"/>
    <mergeCell ref="D32:E32"/>
  </mergeCells>
  <phoneticPr fontId="4"/>
  <pageMargins left="0.70866141732283472" right="0.70866141732283472" top="0.62992125984251968" bottom="0.62992125984251968" header="0" footer="0"/>
  <pageSetup paperSize="8" scale="86" fitToHeight="0" orientation="landscape" r:id="rId1"/>
  <headerFooter>
    <oddFooter>&amp;C&amp;A　&amp;Pページ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家賃シミュレーションシート</vt:lpstr>
      <vt:lpstr>所得計算</vt:lpstr>
      <vt:lpstr>家賃・近傍同種計算</vt:lpstr>
      <vt:lpstr>家賃・近傍同種計算!Print_Area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2025-07-16T12:13:34Z</dcterms:created>
  <dcterms:modified xsi:type="dcterms:W3CDTF">2025-07-16T12:13:34Z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0x010100F8CD7F8D117E5E438CA6D6CFF33CE3E0</vt:lpwstr>
  </property>
  <property fmtid="{D5CDD505-2E9C-101B-9397-08002B2CF9AE}" pid="3" name="MediaServiceImageTags">
    <vt:lpwstr/>
  </property>
</Properties>
</file>